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indiana-my.sharepoint.com/personal/clcosta_iu_edu/Documents/Documents/ROI/"/>
    </mc:Choice>
  </mc:AlternateContent>
  <xr:revisionPtr revIDLastSave="60" documentId="11_77F702A9A05B8DB110B81C79F1B9837867B68835" xr6:coauthVersionLast="47" xr6:coauthVersionMax="47" xr10:uidLastSave="{A5FC737F-F23B-4DED-BB7C-61FD01D537E5}"/>
  <bookViews>
    <workbookView xWindow="19090" yWindow="-110" windowWidth="19420" windowHeight="11020" firstSheet="5" activeTab="11" xr2:uid="{00000000-000D-0000-FFFF-FFFF00000000}"/>
  </bookViews>
  <sheets>
    <sheet name="0. Introdution" sheetId="1" r:id="rId1"/>
    <sheet name="1. Total ROI" sheetId="2" r:id="rId2"/>
    <sheet name="2. SP PY4" sheetId="3" r:id="rId3"/>
    <sheet name="3. SP PY5" sheetId="4" r:id="rId4"/>
    <sheet name="4. SP PY6" sheetId="5" r:id="rId5"/>
    <sheet name="5. SP PY7" sheetId="6" r:id="rId6"/>
    <sheet name="6. SP PY8" sheetId="7" r:id="rId7"/>
    <sheet name="7. SP PY9" sheetId="8" r:id="rId8"/>
    <sheet name="8. ECSS" sheetId="9" r:id="rId9"/>
    <sheet name="9. Training" sheetId="10" r:id="rId10"/>
    <sheet name="10. Helpdesk" sheetId="11" r:id="rId11"/>
    <sheet name="11. CRI" sheetId="12" r:id="rId12"/>
    <sheet name="12. Expenses" sheetId="13" r:id="rId13"/>
    <sheet name="13. Costs" sheetId="14" r:id="rId14"/>
    <sheet name="14. Cost Details" sheetId="15" r:id="rId15"/>
    <sheet name="15. Response Ra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0" roundtripDataSignature="AMtx7mhAamL9GU25GGUKoHbyuqYrym8Uiw=="/>
    </ext>
  </extLst>
</workbook>
</file>

<file path=xl/calcChain.xml><?xml version="1.0" encoding="utf-8"?>
<calcChain xmlns="http://schemas.openxmlformats.org/spreadsheetml/2006/main">
  <c r="E16" i="15" l="1"/>
  <c r="D16" i="15"/>
  <c r="B16" i="15"/>
  <c r="G15" i="15"/>
  <c r="G16" i="15" s="1"/>
  <c r="F15" i="15"/>
  <c r="F16" i="15" s="1"/>
  <c r="E15" i="15"/>
  <c r="D15" i="15"/>
  <c r="C15" i="15"/>
  <c r="C16" i="15" s="1"/>
  <c r="B15" i="15"/>
  <c r="E8" i="15"/>
  <c r="D8" i="15"/>
  <c r="G7" i="15"/>
  <c r="G8" i="15" s="1"/>
  <c r="F7" i="15"/>
  <c r="F8" i="15" s="1"/>
  <c r="E7" i="15"/>
  <c r="D7" i="15"/>
  <c r="C7" i="15"/>
  <c r="C8" i="15" s="1"/>
  <c r="B7" i="15"/>
  <c r="B8" i="15" s="1"/>
  <c r="E91" i="13"/>
  <c r="D91" i="13"/>
  <c r="C91" i="13"/>
  <c r="G90" i="13"/>
  <c r="F90" i="13"/>
  <c r="G89" i="13"/>
  <c r="F89" i="13"/>
  <c r="F87" i="13"/>
  <c r="G87" i="13" s="1"/>
  <c r="F86" i="13"/>
  <c r="G86" i="13" s="1"/>
  <c r="F85" i="13"/>
  <c r="G85" i="13" s="1"/>
  <c r="G84" i="13"/>
  <c r="F84" i="13"/>
  <c r="F83" i="13"/>
  <c r="G83" i="13" s="1"/>
  <c r="G82" i="13"/>
  <c r="F82" i="13"/>
  <c r="F81" i="13"/>
  <c r="G81" i="13" s="1"/>
  <c r="G80" i="13"/>
  <c r="F80" i="13"/>
  <c r="F79" i="13"/>
  <c r="E76" i="13"/>
  <c r="D76" i="13"/>
  <c r="C76" i="13"/>
  <c r="F75" i="13"/>
  <c r="C75" i="13"/>
  <c r="G75" i="13" s="1"/>
  <c r="F74" i="13"/>
  <c r="C74" i="13"/>
  <c r="G74" i="13" s="1"/>
  <c r="G72" i="13"/>
  <c r="F72" i="13"/>
  <c r="C72" i="13"/>
  <c r="G71" i="13"/>
  <c r="F71" i="13"/>
  <c r="G70" i="13"/>
  <c r="F70" i="13"/>
  <c r="G69" i="13"/>
  <c r="F69" i="13"/>
  <c r="C69" i="13"/>
  <c r="F68" i="13"/>
  <c r="C68" i="13"/>
  <c r="G68" i="13" s="1"/>
  <c r="G67" i="13"/>
  <c r="F67" i="13"/>
  <c r="F66" i="13"/>
  <c r="F76" i="13" s="1"/>
  <c r="C66" i="13"/>
  <c r="G66" i="13" s="1"/>
  <c r="G65" i="13"/>
  <c r="F65" i="13"/>
  <c r="G64" i="13"/>
  <c r="F64" i="13"/>
  <c r="E61" i="13"/>
  <c r="D61" i="13"/>
  <c r="F60" i="13"/>
  <c r="C60" i="13"/>
  <c r="G60" i="13" s="1"/>
  <c r="G59" i="13"/>
  <c r="F59" i="13"/>
  <c r="C59" i="13"/>
  <c r="G57" i="13"/>
  <c r="F57" i="13"/>
  <c r="C57" i="13"/>
  <c r="G56" i="13"/>
  <c r="F56" i="13"/>
  <c r="G55" i="13"/>
  <c r="F55" i="13"/>
  <c r="G54" i="13"/>
  <c r="F54" i="13"/>
  <c r="C54" i="13"/>
  <c r="F53" i="13"/>
  <c r="C53" i="13"/>
  <c r="G53" i="13" s="1"/>
  <c r="G52" i="13"/>
  <c r="F52" i="13"/>
  <c r="G51" i="13"/>
  <c r="F51" i="13"/>
  <c r="C51" i="13"/>
  <c r="G50" i="13"/>
  <c r="F50" i="13"/>
  <c r="G49" i="13"/>
  <c r="F49" i="13"/>
  <c r="F61" i="13" s="1"/>
  <c r="E46" i="13"/>
  <c r="D46" i="13"/>
  <c r="G45" i="13"/>
  <c r="F45" i="13"/>
  <c r="C45" i="13"/>
  <c r="G44" i="13"/>
  <c r="F44" i="13"/>
  <c r="C44" i="13"/>
  <c r="F42" i="13"/>
  <c r="C42" i="13"/>
  <c r="G42" i="13" s="1"/>
  <c r="G41" i="13"/>
  <c r="F41" i="13"/>
  <c r="G40" i="13"/>
  <c r="F40" i="13"/>
  <c r="G39" i="13"/>
  <c r="F39" i="13"/>
  <c r="C39" i="13"/>
  <c r="G38" i="13"/>
  <c r="F38" i="13"/>
  <c r="C38" i="13"/>
  <c r="G37" i="13"/>
  <c r="F37" i="13"/>
  <c r="G36" i="13"/>
  <c r="G46" i="13" s="1"/>
  <c r="F36" i="13"/>
  <c r="C36" i="13"/>
  <c r="G35" i="13"/>
  <c r="F35" i="13"/>
  <c r="G34" i="13"/>
  <c r="F34" i="13"/>
  <c r="E31" i="13"/>
  <c r="D31" i="13"/>
  <c r="C31" i="13"/>
  <c r="F30" i="13"/>
  <c r="F29" i="13"/>
  <c r="F28" i="13"/>
  <c r="F27" i="13"/>
  <c r="F26" i="13"/>
  <c r="F25" i="13"/>
  <c r="F31" i="13" s="1"/>
  <c r="F24" i="13"/>
  <c r="F23" i="13"/>
  <c r="F22" i="13"/>
  <c r="F21" i="13"/>
  <c r="F20" i="13"/>
  <c r="F19" i="13"/>
  <c r="E16" i="13"/>
  <c r="D16" i="13"/>
  <c r="C16" i="13"/>
  <c r="F15" i="13"/>
  <c r="F14" i="13"/>
  <c r="F13" i="13"/>
  <c r="F12" i="13"/>
  <c r="F11" i="13"/>
  <c r="F10" i="13"/>
  <c r="F16" i="13" s="1"/>
  <c r="F9" i="13"/>
  <c r="F8" i="13"/>
  <c r="F7" i="13"/>
  <c r="F6" i="13"/>
  <c r="F5" i="13"/>
  <c r="F4" i="13"/>
  <c r="L27" i="12"/>
  <c r="S27" i="12" s="1"/>
  <c r="B27" i="12" s="1"/>
  <c r="L26" i="12"/>
  <c r="S26" i="12" s="1"/>
  <c r="B26" i="12" s="1"/>
  <c r="S25" i="12"/>
  <c r="B25" i="12" s="1"/>
  <c r="L25" i="12"/>
  <c r="S24" i="12"/>
  <c r="B24" i="12"/>
  <c r="S23" i="12"/>
  <c r="B23" i="12" s="1"/>
  <c r="S22" i="12"/>
  <c r="B22" i="12"/>
  <c r="S19" i="12"/>
  <c r="E19" i="12" s="1"/>
  <c r="D19" i="12"/>
  <c r="O18" i="12"/>
  <c r="S18" i="12" s="1"/>
  <c r="E18" i="12" s="1"/>
  <c r="B18" i="12" s="1"/>
  <c r="B34" i="12" s="1"/>
  <c r="D18" i="12"/>
  <c r="M17" i="12"/>
  <c r="S17" i="12" s="1"/>
  <c r="E17" i="12" s="1"/>
  <c r="B17" i="12" s="1"/>
  <c r="D17" i="12"/>
  <c r="S16" i="12"/>
  <c r="E16" i="12" s="1"/>
  <c r="B16" i="12" s="1"/>
  <c r="B32" i="12" s="1"/>
  <c r="D16" i="12"/>
  <c r="S15" i="12"/>
  <c r="E15" i="12" s="1"/>
  <c r="B15" i="12" s="1"/>
  <c r="B31" i="12" s="1"/>
  <c r="D15" i="12"/>
  <c r="S14" i="12"/>
  <c r="E14" i="12"/>
  <c r="D14" i="12"/>
  <c r="D9" i="12"/>
  <c r="E9" i="12" s="1"/>
  <c r="D8" i="12"/>
  <c r="E8" i="12" s="1"/>
  <c r="D7" i="12"/>
  <c r="E7" i="12" s="1"/>
  <c r="D6" i="12"/>
  <c r="E6" i="12" s="1"/>
  <c r="D5" i="12"/>
  <c r="E5" i="12" s="1"/>
  <c r="E4" i="12"/>
  <c r="D4" i="12"/>
  <c r="F9" i="11"/>
  <c r="F8" i="11"/>
  <c r="B8" i="11"/>
  <c r="F7" i="11"/>
  <c r="B7" i="11"/>
  <c r="F6" i="11"/>
  <c r="B6" i="11"/>
  <c r="F5" i="11"/>
  <c r="B5" i="11"/>
  <c r="B19" i="10"/>
  <c r="G18" i="10"/>
  <c r="F18" i="10"/>
  <c r="E18" i="10"/>
  <c r="D18" i="10"/>
  <c r="C18" i="10"/>
  <c r="B18" i="10"/>
  <c r="G16" i="10"/>
  <c r="F16" i="10"/>
  <c r="F19" i="10" s="1"/>
  <c r="E16" i="10"/>
  <c r="D16" i="10"/>
  <c r="C16" i="10"/>
  <c r="B16" i="10"/>
  <c r="G14" i="10"/>
  <c r="F14" i="10"/>
  <c r="E14" i="10"/>
  <c r="D14" i="10"/>
  <c r="C14" i="10"/>
  <c r="C19" i="10" s="1"/>
  <c r="B14" i="10"/>
  <c r="D162" i="9"/>
  <c r="E161" i="9"/>
  <c r="E160" i="9"/>
  <c r="E159" i="9"/>
  <c r="E158" i="9"/>
  <c r="E157" i="9"/>
  <c r="E156" i="9"/>
  <c r="E155" i="9"/>
  <c r="E154" i="9"/>
  <c r="E153" i="9"/>
  <c r="E152" i="9"/>
  <c r="E151" i="9"/>
  <c r="E150" i="9"/>
  <c r="E149" i="9"/>
  <c r="E148" i="9"/>
  <c r="E147" i="9"/>
  <c r="E146" i="9"/>
  <c r="E145" i="9"/>
  <c r="E144" i="9"/>
  <c r="E143" i="9"/>
  <c r="E142" i="9"/>
  <c r="D163" i="9" s="1"/>
  <c r="E163" i="9" s="1"/>
  <c r="F163" i="9" s="1"/>
  <c r="G163" i="9" s="1"/>
  <c r="E141" i="9"/>
  <c r="E140" i="9"/>
  <c r="E139" i="9"/>
  <c r="E162" i="9" s="1"/>
  <c r="F136" i="9"/>
  <c r="G136" i="9" s="1"/>
  <c r="E136" i="9"/>
  <c r="D135" i="9"/>
  <c r="E135" i="9" s="1"/>
  <c r="F135" i="9" s="1"/>
  <c r="G135" i="9" s="1"/>
  <c r="G134" i="9"/>
  <c r="F134" i="9"/>
  <c r="E112" i="9"/>
  <c r="F112" i="9" s="1"/>
  <c r="G112" i="9" s="1"/>
  <c r="D111" i="9"/>
  <c r="E111" i="9" s="1"/>
  <c r="F111" i="9" s="1"/>
  <c r="G111" i="9" s="1"/>
  <c r="F110" i="9"/>
  <c r="G110" i="9" s="1"/>
  <c r="F83" i="9"/>
  <c r="G83" i="9" s="1"/>
  <c r="E83" i="9"/>
  <c r="D82" i="9"/>
  <c r="E82" i="9" s="1"/>
  <c r="F82" i="9" s="1"/>
  <c r="G82" i="9" s="1"/>
  <c r="F81" i="9"/>
  <c r="G81" i="9" s="1"/>
  <c r="G46" i="9"/>
  <c r="F46" i="9"/>
  <c r="E46" i="9"/>
  <c r="D45" i="9"/>
  <c r="E45" i="9" s="1"/>
  <c r="F45" i="9" s="1"/>
  <c r="G45" i="9" s="1"/>
  <c r="G44" i="9"/>
  <c r="F44" i="9"/>
  <c r="E18" i="9"/>
  <c r="F18" i="9" s="1"/>
  <c r="G18" i="9" s="1"/>
  <c r="D17" i="9"/>
  <c r="E17" i="9" s="1"/>
  <c r="F17" i="9" s="1"/>
  <c r="G17" i="9" s="1"/>
  <c r="G16" i="9"/>
  <c r="F16" i="9"/>
  <c r="D17" i="8"/>
  <c r="C17" i="8"/>
  <c r="R16" i="8"/>
  <c r="T16" i="8" s="1"/>
  <c r="L16" i="8"/>
  <c r="N16" i="8" s="1"/>
  <c r="F16" i="8"/>
  <c r="H16" i="8" s="1"/>
  <c r="I16" i="8" s="1"/>
  <c r="B16" i="8"/>
  <c r="R15" i="8"/>
  <c r="L15" i="8"/>
  <c r="F15" i="8"/>
  <c r="B15" i="8"/>
  <c r="N15" i="8" s="1"/>
  <c r="P15" i="8" s="1"/>
  <c r="R14" i="8"/>
  <c r="N14" i="8"/>
  <c r="P14" i="8" s="1"/>
  <c r="L14" i="8"/>
  <c r="F14" i="8"/>
  <c r="B14" i="8"/>
  <c r="R13" i="8"/>
  <c r="L13" i="8"/>
  <c r="F13" i="8"/>
  <c r="B13" i="8"/>
  <c r="R12" i="8"/>
  <c r="O12" i="8"/>
  <c r="L12" i="8"/>
  <c r="F12" i="8"/>
  <c r="B12" i="8"/>
  <c r="N12" i="8" s="1"/>
  <c r="P12" i="8" s="1"/>
  <c r="T11" i="8"/>
  <c r="V11" i="8" s="1"/>
  <c r="R11" i="8"/>
  <c r="L11" i="8"/>
  <c r="N11" i="8" s="1"/>
  <c r="H11" i="8"/>
  <c r="F11" i="8"/>
  <c r="B11" i="8"/>
  <c r="T10" i="8"/>
  <c r="V10" i="8" s="1"/>
  <c r="R10" i="8"/>
  <c r="P10" i="8"/>
  <c r="O10" i="8"/>
  <c r="L10" i="8"/>
  <c r="F10" i="8"/>
  <c r="B10" i="8"/>
  <c r="N10" i="8" s="1"/>
  <c r="R9" i="8"/>
  <c r="L9" i="8"/>
  <c r="F9" i="8"/>
  <c r="B9" i="8"/>
  <c r="R8" i="8"/>
  <c r="T8" i="8" s="1"/>
  <c r="U8" i="8" s="1"/>
  <c r="L8" i="8"/>
  <c r="N8" i="8" s="1"/>
  <c r="F8" i="8"/>
  <c r="H8" i="8" s="1"/>
  <c r="B8" i="8"/>
  <c r="R7" i="8"/>
  <c r="N7" i="8"/>
  <c r="L7" i="8"/>
  <c r="F7" i="8"/>
  <c r="B7" i="8"/>
  <c r="H7" i="8" s="1"/>
  <c r="R6" i="8"/>
  <c r="L6" i="8"/>
  <c r="F6" i="8"/>
  <c r="B6" i="8"/>
  <c r="R5" i="8"/>
  <c r="L5" i="8"/>
  <c r="H5" i="8"/>
  <c r="J5" i="8" s="1"/>
  <c r="F5" i="8"/>
  <c r="B5" i="8"/>
  <c r="R4" i="8"/>
  <c r="R17" i="8" s="1"/>
  <c r="L4" i="8"/>
  <c r="L17" i="8" s="1"/>
  <c r="F4" i="8"/>
  <c r="B4" i="8"/>
  <c r="H4" i="8" s="1"/>
  <c r="L17" i="7"/>
  <c r="D17" i="7"/>
  <c r="C17" i="7"/>
  <c r="R16" i="7"/>
  <c r="P16" i="7"/>
  <c r="L16" i="7"/>
  <c r="F16" i="7"/>
  <c r="B16" i="7"/>
  <c r="N16" i="7" s="1"/>
  <c r="O16" i="7" s="1"/>
  <c r="U15" i="7"/>
  <c r="T15" i="7"/>
  <c r="V15" i="7" s="1"/>
  <c r="R15" i="7"/>
  <c r="L15" i="7"/>
  <c r="N15" i="7" s="1"/>
  <c r="H15" i="7"/>
  <c r="F15" i="7"/>
  <c r="B15" i="7"/>
  <c r="T14" i="7"/>
  <c r="V14" i="7" s="1"/>
  <c r="R14" i="7"/>
  <c r="P14" i="7"/>
  <c r="O14" i="7"/>
  <c r="L14" i="7"/>
  <c r="F14" i="7"/>
  <c r="B14" i="7"/>
  <c r="N14" i="7" s="1"/>
  <c r="R13" i="7"/>
  <c r="L13" i="7"/>
  <c r="F13" i="7"/>
  <c r="B13" i="7"/>
  <c r="V12" i="7"/>
  <c r="R12" i="7"/>
  <c r="T12" i="7" s="1"/>
  <c r="U12" i="7" s="1"/>
  <c r="L12" i="7"/>
  <c r="N12" i="7" s="1"/>
  <c r="H12" i="7"/>
  <c r="F12" i="7"/>
  <c r="B12" i="7"/>
  <c r="R11" i="7"/>
  <c r="N11" i="7"/>
  <c r="L11" i="7"/>
  <c r="F11" i="7"/>
  <c r="B11" i="7"/>
  <c r="H11" i="7" s="1"/>
  <c r="R10" i="7"/>
  <c r="L10" i="7"/>
  <c r="F10" i="7"/>
  <c r="B10" i="7"/>
  <c r="R9" i="7"/>
  <c r="L9" i="7"/>
  <c r="I9" i="7"/>
  <c r="H9" i="7"/>
  <c r="J9" i="7" s="1"/>
  <c r="F9" i="7"/>
  <c r="B9" i="7"/>
  <c r="R8" i="7"/>
  <c r="L8" i="7"/>
  <c r="N8" i="7" s="1"/>
  <c r="F8" i="7"/>
  <c r="B8" i="7"/>
  <c r="H8" i="7" s="1"/>
  <c r="V7" i="7"/>
  <c r="T7" i="7"/>
  <c r="U7" i="7" s="1"/>
  <c r="R7" i="7"/>
  <c r="O7" i="7"/>
  <c r="L7" i="7"/>
  <c r="N7" i="7" s="1"/>
  <c r="P7" i="7" s="1"/>
  <c r="I7" i="7"/>
  <c r="H7" i="7"/>
  <c r="J7" i="7" s="1"/>
  <c r="F7" i="7"/>
  <c r="B7" i="7"/>
  <c r="R6" i="7"/>
  <c r="P6" i="7"/>
  <c r="L6" i="7"/>
  <c r="F6" i="7"/>
  <c r="B6" i="7"/>
  <c r="N6" i="7" s="1"/>
  <c r="O6" i="7" s="1"/>
  <c r="R5" i="7"/>
  <c r="N5" i="7"/>
  <c r="P5" i="7" s="1"/>
  <c r="L5" i="7"/>
  <c r="F5" i="7"/>
  <c r="B5" i="7"/>
  <c r="T4" i="7"/>
  <c r="R4" i="7"/>
  <c r="R17" i="7" s="1"/>
  <c r="L4" i="7"/>
  <c r="N4" i="7" s="1"/>
  <c r="I4" i="7"/>
  <c r="H4" i="7"/>
  <c r="J4" i="7" s="1"/>
  <c r="F4" i="7"/>
  <c r="B4" i="7"/>
  <c r="D17" i="6"/>
  <c r="C17" i="6"/>
  <c r="R16" i="6"/>
  <c r="T16" i="6" s="1"/>
  <c r="U16" i="6" s="1"/>
  <c r="N16" i="6"/>
  <c r="L16" i="6"/>
  <c r="H16" i="6"/>
  <c r="J16" i="6" s="1"/>
  <c r="F16" i="6"/>
  <c r="B16" i="6"/>
  <c r="T15" i="6"/>
  <c r="V15" i="6" s="1"/>
  <c r="R15" i="6"/>
  <c r="O15" i="6"/>
  <c r="N15" i="6"/>
  <c r="P15" i="6" s="1"/>
  <c r="L15" i="6"/>
  <c r="F15" i="6"/>
  <c r="B15" i="6"/>
  <c r="H15" i="6" s="1"/>
  <c r="R14" i="6"/>
  <c r="L14" i="6"/>
  <c r="F14" i="6"/>
  <c r="B14" i="6"/>
  <c r="R13" i="6"/>
  <c r="L13" i="6"/>
  <c r="F13" i="6"/>
  <c r="B13" i="6"/>
  <c r="R12" i="6"/>
  <c r="N12" i="6"/>
  <c r="P12" i="6" s="1"/>
  <c r="L12" i="6"/>
  <c r="F12" i="6"/>
  <c r="B12" i="6"/>
  <c r="H12" i="6" s="1"/>
  <c r="T11" i="6"/>
  <c r="R11" i="6"/>
  <c r="L11" i="6"/>
  <c r="N11" i="6" s="1"/>
  <c r="J11" i="6"/>
  <c r="I11" i="6"/>
  <c r="H11" i="6"/>
  <c r="F11" i="6"/>
  <c r="B11" i="6"/>
  <c r="R10" i="6"/>
  <c r="L10" i="6"/>
  <c r="F10" i="6"/>
  <c r="B10" i="6"/>
  <c r="N10" i="6" s="1"/>
  <c r="P10" i="6" s="1"/>
  <c r="R9" i="6"/>
  <c r="L9" i="6"/>
  <c r="F9" i="6"/>
  <c r="B9" i="6"/>
  <c r="T8" i="6"/>
  <c r="V8" i="6" s="1"/>
  <c r="R8" i="6"/>
  <c r="L8" i="6"/>
  <c r="N8" i="6" s="1"/>
  <c r="F8" i="6"/>
  <c r="H8" i="6" s="1"/>
  <c r="B8" i="6"/>
  <c r="R7" i="6"/>
  <c r="L7" i="6"/>
  <c r="F7" i="6"/>
  <c r="B7" i="6"/>
  <c r="H7" i="6" s="1"/>
  <c r="J7" i="6" s="1"/>
  <c r="R6" i="6"/>
  <c r="L6" i="6"/>
  <c r="F6" i="6"/>
  <c r="B6" i="6"/>
  <c r="R5" i="6"/>
  <c r="L5" i="6"/>
  <c r="F5" i="6"/>
  <c r="H5" i="6" s="1"/>
  <c r="B5" i="6"/>
  <c r="R4" i="6"/>
  <c r="R17" i="6" s="1"/>
  <c r="L4" i="6"/>
  <c r="H4" i="6"/>
  <c r="F4" i="6"/>
  <c r="B4" i="6"/>
  <c r="T4" i="6" s="1"/>
  <c r="D17" i="5"/>
  <c r="C17" i="5"/>
  <c r="R16" i="5"/>
  <c r="N16" i="5"/>
  <c r="P16" i="5" s="1"/>
  <c r="L16" i="5"/>
  <c r="F16" i="5"/>
  <c r="B16" i="5"/>
  <c r="H16" i="5" s="1"/>
  <c r="T15" i="5"/>
  <c r="R15" i="5"/>
  <c r="L15" i="5"/>
  <c r="N15" i="5" s="1"/>
  <c r="J15" i="5"/>
  <c r="I15" i="5"/>
  <c r="H15" i="5"/>
  <c r="F15" i="5"/>
  <c r="B15" i="5"/>
  <c r="R14" i="5"/>
  <c r="L14" i="5"/>
  <c r="F14" i="5"/>
  <c r="B14" i="5"/>
  <c r="N14" i="5" s="1"/>
  <c r="P14" i="5" s="1"/>
  <c r="R13" i="5"/>
  <c r="L13" i="5"/>
  <c r="F13" i="5"/>
  <c r="B13" i="5"/>
  <c r="T12" i="5"/>
  <c r="V12" i="5" s="1"/>
  <c r="R12" i="5"/>
  <c r="L12" i="5"/>
  <c r="N12" i="5" s="1"/>
  <c r="F12" i="5"/>
  <c r="H12" i="5" s="1"/>
  <c r="B12" i="5"/>
  <c r="R11" i="5"/>
  <c r="L11" i="5"/>
  <c r="I11" i="5"/>
  <c r="F11" i="5"/>
  <c r="B11" i="5"/>
  <c r="H11" i="5" s="1"/>
  <c r="J11" i="5" s="1"/>
  <c r="R10" i="5"/>
  <c r="L10" i="5"/>
  <c r="F10" i="5"/>
  <c r="B10" i="5"/>
  <c r="R9" i="5"/>
  <c r="L9" i="5"/>
  <c r="H9" i="5"/>
  <c r="F9" i="5"/>
  <c r="B9" i="5"/>
  <c r="R8" i="5"/>
  <c r="L8" i="5"/>
  <c r="H8" i="5"/>
  <c r="F8" i="5"/>
  <c r="B8" i="5"/>
  <c r="T8" i="5" s="1"/>
  <c r="V7" i="5"/>
  <c r="U7" i="5"/>
  <c r="T7" i="5"/>
  <c r="R7" i="5"/>
  <c r="O7" i="5"/>
  <c r="N7" i="5"/>
  <c r="P7" i="5" s="1"/>
  <c r="L7" i="5"/>
  <c r="H7" i="5"/>
  <c r="J7" i="5" s="1"/>
  <c r="F7" i="5"/>
  <c r="B7" i="5"/>
  <c r="R6" i="5"/>
  <c r="P6" i="5"/>
  <c r="O6" i="5"/>
  <c r="L6" i="5"/>
  <c r="I6" i="5"/>
  <c r="H6" i="5"/>
  <c r="J6" i="5" s="1"/>
  <c r="F6" i="5"/>
  <c r="B6" i="5"/>
  <c r="N6" i="5" s="1"/>
  <c r="R5" i="5"/>
  <c r="N5" i="5"/>
  <c r="L5" i="5"/>
  <c r="F5" i="5"/>
  <c r="B5" i="5"/>
  <c r="R4" i="5"/>
  <c r="N4" i="5"/>
  <c r="L4" i="5"/>
  <c r="H4" i="5"/>
  <c r="J4" i="5" s="1"/>
  <c r="F4" i="5"/>
  <c r="B4" i="5"/>
  <c r="R17" i="4"/>
  <c r="D17" i="4"/>
  <c r="C17" i="4"/>
  <c r="R16" i="4"/>
  <c r="T16" i="4" s="1"/>
  <c r="U16" i="4" s="1"/>
  <c r="O16" i="4"/>
  <c r="N16" i="4"/>
  <c r="P16" i="4" s="1"/>
  <c r="L16" i="4"/>
  <c r="J16" i="4"/>
  <c r="F16" i="4"/>
  <c r="H16" i="4" s="1"/>
  <c r="I16" i="4" s="1"/>
  <c r="B16" i="4"/>
  <c r="R15" i="4"/>
  <c r="L15" i="4"/>
  <c r="F15" i="4"/>
  <c r="B15" i="4"/>
  <c r="R14" i="4"/>
  <c r="L14" i="4"/>
  <c r="F14" i="4"/>
  <c r="B14" i="4"/>
  <c r="R13" i="4"/>
  <c r="T13" i="4" s="1"/>
  <c r="L13" i="4"/>
  <c r="N13" i="4" s="1"/>
  <c r="F13" i="4"/>
  <c r="H13" i="4" s="1"/>
  <c r="B13" i="4"/>
  <c r="T12" i="4"/>
  <c r="R12" i="4"/>
  <c r="N12" i="4"/>
  <c r="P12" i="4" s="1"/>
  <c r="L12" i="4"/>
  <c r="H12" i="4"/>
  <c r="F12" i="4"/>
  <c r="B12" i="4"/>
  <c r="R11" i="4"/>
  <c r="L11" i="4"/>
  <c r="F11" i="4"/>
  <c r="B11" i="4"/>
  <c r="T11" i="4" s="1"/>
  <c r="V11" i="4" s="1"/>
  <c r="R10" i="4"/>
  <c r="L10" i="4"/>
  <c r="F10" i="4"/>
  <c r="B10" i="4"/>
  <c r="R9" i="4"/>
  <c r="T9" i="4" s="1"/>
  <c r="N9" i="4"/>
  <c r="L9" i="4"/>
  <c r="F9" i="4"/>
  <c r="H9" i="4" s="1"/>
  <c r="B9" i="4"/>
  <c r="T8" i="4"/>
  <c r="V8" i="4" s="1"/>
  <c r="R8" i="4"/>
  <c r="N8" i="4"/>
  <c r="L8" i="4"/>
  <c r="H8" i="4"/>
  <c r="J8" i="4" s="1"/>
  <c r="F8" i="4"/>
  <c r="B8" i="4"/>
  <c r="R7" i="4"/>
  <c r="L7" i="4"/>
  <c r="F7" i="4"/>
  <c r="B7" i="4"/>
  <c r="R6" i="4"/>
  <c r="L6" i="4"/>
  <c r="F6" i="4"/>
  <c r="B6" i="4"/>
  <c r="R5" i="4"/>
  <c r="T5" i="4" s="1"/>
  <c r="L5" i="4"/>
  <c r="N5" i="4" s="1"/>
  <c r="H5" i="4"/>
  <c r="F5" i="4"/>
  <c r="B5" i="4"/>
  <c r="T4" i="4"/>
  <c r="R4" i="4"/>
  <c r="N4" i="4"/>
  <c r="P4" i="4" s="1"/>
  <c r="L4" i="4"/>
  <c r="H4" i="4"/>
  <c r="F4" i="4"/>
  <c r="B4" i="4"/>
  <c r="D17" i="3"/>
  <c r="R16" i="3"/>
  <c r="T16" i="3" s="1"/>
  <c r="N16" i="3"/>
  <c r="L16" i="3"/>
  <c r="F16" i="3"/>
  <c r="H16" i="3" s="1"/>
  <c r="B16" i="3"/>
  <c r="T15" i="3"/>
  <c r="V15" i="3" s="1"/>
  <c r="R15" i="3"/>
  <c r="N15" i="3"/>
  <c r="L15" i="3"/>
  <c r="H15" i="3"/>
  <c r="J15" i="3" s="1"/>
  <c r="F15" i="3"/>
  <c r="B15" i="3"/>
  <c r="R14" i="3"/>
  <c r="L14" i="3"/>
  <c r="F14" i="3"/>
  <c r="B14" i="3"/>
  <c r="R13" i="3"/>
  <c r="L13" i="3"/>
  <c r="F13" i="3"/>
  <c r="B13" i="3"/>
  <c r="R12" i="3"/>
  <c r="T12" i="3" s="1"/>
  <c r="L12" i="3"/>
  <c r="N12" i="3" s="1"/>
  <c r="H12" i="3"/>
  <c r="F12" i="3"/>
  <c r="B12" i="3"/>
  <c r="T11" i="3"/>
  <c r="R11" i="3"/>
  <c r="N11" i="3"/>
  <c r="P11" i="3" s="1"/>
  <c r="L11" i="3"/>
  <c r="H11" i="3"/>
  <c r="F11" i="3"/>
  <c r="B11" i="3"/>
  <c r="R10" i="3"/>
  <c r="L10" i="3"/>
  <c r="F10" i="3"/>
  <c r="B10" i="3"/>
  <c r="N10" i="3" s="1"/>
  <c r="P10" i="3" s="1"/>
  <c r="V9" i="3"/>
  <c r="R9" i="3"/>
  <c r="T9" i="3" s="1"/>
  <c r="U9" i="3" s="1"/>
  <c r="N9" i="3"/>
  <c r="O9" i="3" s="1"/>
  <c r="L9" i="3"/>
  <c r="F9" i="3"/>
  <c r="H9" i="3" s="1"/>
  <c r="I9" i="3" s="1"/>
  <c r="B9" i="3"/>
  <c r="T8" i="3"/>
  <c r="V8" i="3" s="1"/>
  <c r="R8" i="3"/>
  <c r="L8" i="3"/>
  <c r="N8" i="3" s="1"/>
  <c r="F8" i="3"/>
  <c r="H8" i="3" s="1"/>
  <c r="B8" i="3"/>
  <c r="T7" i="3"/>
  <c r="U7" i="3" s="1"/>
  <c r="R7" i="3"/>
  <c r="N7" i="3"/>
  <c r="P7" i="3" s="1"/>
  <c r="L7" i="3"/>
  <c r="H7" i="3"/>
  <c r="I7" i="3" s="1"/>
  <c r="F7" i="3"/>
  <c r="B7" i="3"/>
  <c r="R6" i="3"/>
  <c r="L6" i="3"/>
  <c r="N6" i="3" s="1"/>
  <c r="F6" i="3"/>
  <c r="B6" i="3"/>
  <c r="T6" i="3" s="1"/>
  <c r="R5" i="3"/>
  <c r="T5" i="3" s="1"/>
  <c r="L5" i="3"/>
  <c r="N5" i="3" s="1"/>
  <c r="F5" i="3"/>
  <c r="H5" i="3" s="1"/>
  <c r="B5" i="3"/>
  <c r="R4" i="3"/>
  <c r="R17" i="3" s="1"/>
  <c r="L4" i="3"/>
  <c r="L17" i="3" s="1"/>
  <c r="F4" i="3"/>
  <c r="F17" i="3" s="1"/>
  <c r="B4" i="3"/>
  <c r="H24" i="2"/>
  <c r="F23" i="2"/>
  <c r="F25" i="2" s="1"/>
  <c r="C23" i="2"/>
  <c r="C25" i="2" s="1"/>
  <c r="B23" i="2"/>
  <c r="G21" i="2"/>
  <c r="F21" i="2"/>
  <c r="E21" i="2"/>
  <c r="D21" i="2"/>
  <c r="C21" i="2"/>
  <c r="B21" i="2"/>
  <c r="H20" i="2"/>
  <c r="Q19" i="2"/>
  <c r="H19" i="2"/>
  <c r="H21" i="2" s="1"/>
  <c r="P18" i="2"/>
  <c r="P20" i="2" s="1"/>
  <c r="O18" i="2"/>
  <c r="O20" i="2" s="1"/>
  <c r="L18" i="2"/>
  <c r="L20" i="2" s="1"/>
  <c r="K18" i="2"/>
  <c r="P16" i="2"/>
  <c r="O16" i="2"/>
  <c r="N16" i="2"/>
  <c r="M16" i="2"/>
  <c r="L16" i="2"/>
  <c r="K16" i="2"/>
  <c r="H16" i="2"/>
  <c r="Q15" i="2"/>
  <c r="Q14" i="2"/>
  <c r="Q16" i="2" s="1"/>
  <c r="H13" i="2"/>
  <c r="Q12" i="2"/>
  <c r="Q11" i="2"/>
  <c r="Q10" i="2"/>
  <c r="H10" i="2"/>
  <c r="Q8" i="2"/>
  <c r="P8" i="2"/>
  <c r="O8" i="2"/>
  <c r="N8" i="2"/>
  <c r="N18" i="2" s="1"/>
  <c r="N20" i="2" s="1"/>
  <c r="M8" i="2"/>
  <c r="M18" i="2" s="1"/>
  <c r="M20" i="2" s="1"/>
  <c r="L8" i="2"/>
  <c r="K8" i="2"/>
  <c r="G8" i="2"/>
  <c r="G23" i="2" s="1"/>
  <c r="G25" i="2" s="1"/>
  <c r="F8" i="2"/>
  <c r="E8" i="2"/>
  <c r="E23" i="2" s="1"/>
  <c r="E25" i="2" s="1"/>
  <c r="D8" i="2"/>
  <c r="D23" i="2" s="1"/>
  <c r="D25" i="2" s="1"/>
  <c r="C8" i="2"/>
  <c r="B8" i="2"/>
  <c r="Q7" i="2"/>
  <c r="H7" i="2"/>
  <c r="Q6" i="2"/>
  <c r="H6" i="2"/>
  <c r="Q5" i="2"/>
  <c r="H5" i="2"/>
  <c r="B19" i="12" l="1"/>
  <c r="B35" i="12" s="1"/>
  <c r="B14" i="12"/>
  <c r="B30" i="12" s="1"/>
  <c r="D19" i="10"/>
  <c r="E19" i="10"/>
  <c r="P6" i="3"/>
  <c r="O6" i="3"/>
  <c r="J5" i="6"/>
  <c r="I5" i="6"/>
  <c r="P8" i="7"/>
  <c r="O8" i="7"/>
  <c r="J13" i="4"/>
  <c r="I13" i="4"/>
  <c r="H23" i="2"/>
  <c r="H25" i="2" s="1"/>
  <c r="J8" i="3"/>
  <c r="I8" i="3"/>
  <c r="I5" i="3"/>
  <c r="J5" i="3"/>
  <c r="O8" i="3"/>
  <c r="P8" i="3"/>
  <c r="V12" i="3"/>
  <c r="U12" i="3"/>
  <c r="V13" i="4"/>
  <c r="U13" i="4"/>
  <c r="V6" i="3"/>
  <c r="U6" i="3"/>
  <c r="P5" i="3"/>
  <c r="O5" i="3"/>
  <c r="V5" i="4"/>
  <c r="U5" i="4"/>
  <c r="J8" i="8"/>
  <c r="I8" i="8"/>
  <c r="Q18" i="2"/>
  <c r="Q20" i="2" s="1"/>
  <c r="U5" i="3"/>
  <c r="V5" i="3"/>
  <c r="N15" i="4"/>
  <c r="T15" i="4"/>
  <c r="H15" i="4"/>
  <c r="J9" i="4"/>
  <c r="I9" i="4"/>
  <c r="V8" i="5"/>
  <c r="U8" i="5"/>
  <c r="N4" i="8"/>
  <c r="G76" i="13"/>
  <c r="K20" i="2"/>
  <c r="J7" i="3"/>
  <c r="V7" i="3"/>
  <c r="J9" i="3"/>
  <c r="H10" i="3"/>
  <c r="N14" i="3"/>
  <c r="I15" i="3"/>
  <c r="I8" i="4"/>
  <c r="O12" i="4"/>
  <c r="P12" i="5"/>
  <c r="O12" i="5"/>
  <c r="V11" i="6"/>
  <c r="U11" i="6"/>
  <c r="V16" i="6"/>
  <c r="P4" i="7"/>
  <c r="O4" i="7"/>
  <c r="T6" i="8"/>
  <c r="H6" i="8"/>
  <c r="N6" i="8"/>
  <c r="P7" i="8"/>
  <c r="O7" i="8"/>
  <c r="V8" i="8"/>
  <c r="P11" i="8"/>
  <c r="O11" i="8"/>
  <c r="J16" i="8"/>
  <c r="T6" i="4"/>
  <c r="H6" i="4"/>
  <c r="N6" i="4"/>
  <c r="V15" i="5"/>
  <c r="U15" i="5"/>
  <c r="P15" i="7"/>
  <c r="O15" i="7"/>
  <c r="H8" i="2"/>
  <c r="V11" i="3"/>
  <c r="U11" i="3"/>
  <c r="J12" i="5"/>
  <c r="I12" i="5"/>
  <c r="J16" i="5"/>
  <c r="I16" i="5"/>
  <c r="O5" i="7"/>
  <c r="J11" i="8"/>
  <c r="I11" i="8"/>
  <c r="H6" i="3"/>
  <c r="N13" i="3"/>
  <c r="P16" i="3"/>
  <c r="O16" i="3"/>
  <c r="F17" i="4"/>
  <c r="P9" i="4"/>
  <c r="O9" i="4"/>
  <c r="U11" i="4"/>
  <c r="T14" i="4"/>
  <c r="H14" i="4"/>
  <c r="N14" i="4"/>
  <c r="F17" i="5"/>
  <c r="P5" i="5"/>
  <c r="O5" i="5"/>
  <c r="J8" i="5"/>
  <c r="I8" i="5"/>
  <c r="V4" i="6"/>
  <c r="U4" i="6"/>
  <c r="J8" i="6"/>
  <c r="I8" i="6"/>
  <c r="J12" i="6"/>
  <c r="I12" i="6"/>
  <c r="P16" i="8"/>
  <c r="O16" i="8"/>
  <c r="B33" i="12"/>
  <c r="P13" i="4"/>
  <c r="O13" i="4"/>
  <c r="P11" i="6"/>
  <c r="O11" i="6"/>
  <c r="H4" i="3"/>
  <c r="V4" i="4"/>
  <c r="U4" i="4"/>
  <c r="J11" i="3"/>
  <c r="I11" i="3"/>
  <c r="J12" i="3"/>
  <c r="I12" i="3"/>
  <c r="P15" i="3"/>
  <c r="O15" i="3"/>
  <c r="V16" i="3"/>
  <c r="U16" i="3"/>
  <c r="J4" i="4"/>
  <c r="I4" i="4"/>
  <c r="J5" i="4"/>
  <c r="I5" i="4"/>
  <c r="P8" i="4"/>
  <c r="O8" i="4"/>
  <c r="V9" i="4"/>
  <c r="U9" i="4"/>
  <c r="V12" i="4"/>
  <c r="U12" i="4"/>
  <c r="P8" i="6"/>
  <c r="O8" i="6"/>
  <c r="J15" i="6"/>
  <c r="I15" i="6"/>
  <c r="V4" i="7"/>
  <c r="U4" i="7"/>
  <c r="J8" i="7"/>
  <c r="I8" i="7"/>
  <c r="J12" i="7"/>
  <c r="I12" i="7"/>
  <c r="O15" i="8"/>
  <c r="V16" i="8"/>
  <c r="U16" i="8"/>
  <c r="T4" i="3"/>
  <c r="N4" i="3"/>
  <c r="O7" i="3"/>
  <c r="U8" i="3"/>
  <c r="P9" i="3"/>
  <c r="P12" i="3"/>
  <c r="O12" i="3"/>
  <c r="T13" i="3"/>
  <c r="L17" i="4"/>
  <c r="P5" i="4"/>
  <c r="O5" i="4"/>
  <c r="N10" i="4"/>
  <c r="T10" i="4"/>
  <c r="H10" i="4"/>
  <c r="V16" i="4"/>
  <c r="L17" i="5"/>
  <c r="U12" i="5"/>
  <c r="O16" i="5"/>
  <c r="J4" i="6"/>
  <c r="I4" i="6"/>
  <c r="J11" i="7"/>
  <c r="I11" i="7"/>
  <c r="P12" i="7"/>
  <c r="O12" i="7"/>
  <c r="U11" i="8"/>
  <c r="G61" i="13"/>
  <c r="B25" i="2"/>
  <c r="J9" i="5"/>
  <c r="I9" i="5"/>
  <c r="P11" i="7"/>
  <c r="O11" i="7"/>
  <c r="H13" i="3"/>
  <c r="O10" i="3"/>
  <c r="P4" i="5"/>
  <c r="O4" i="5"/>
  <c r="P15" i="5"/>
  <c r="O15" i="5"/>
  <c r="L17" i="6"/>
  <c r="N4" i="6"/>
  <c r="I16" i="6"/>
  <c r="J4" i="8"/>
  <c r="I4" i="8"/>
  <c r="I5" i="8"/>
  <c r="G19" i="10"/>
  <c r="F46" i="13"/>
  <c r="T10" i="7"/>
  <c r="H10" i="7"/>
  <c r="N10" i="7"/>
  <c r="J16" i="3"/>
  <c r="I16" i="3"/>
  <c r="T10" i="3"/>
  <c r="O11" i="3"/>
  <c r="T14" i="3"/>
  <c r="H14" i="3"/>
  <c r="U15" i="3"/>
  <c r="O4" i="4"/>
  <c r="N7" i="4"/>
  <c r="T7" i="4"/>
  <c r="H7" i="4"/>
  <c r="U8" i="4"/>
  <c r="J12" i="4"/>
  <c r="I12" i="4"/>
  <c r="R17" i="5"/>
  <c r="T4" i="5"/>
  <c r="I7" i="6"/>
  <c r="U8" i="6"/>
  <c r="O12" i="6"/>
  <c r="T14" i="6"/>
  <c r="H14" i="6"/>
  <c r="N14" i="6"/>
  <c r="F17" i="7"/>
  <c r="J15" i="7"/>
  <c r="I15" i="7"/>
  <c r="J7" i="8"/>
  <c r="I7" i="8"/>
  <c r="P8" i="8"/>
  <c r="O8" i="8"/>
  <c r="F162" i="9"/>
  <c r="G162" i="9" s="1"/>
  <c r="E164" i="9"/>
  <c r="F164" i="9" s="1"/>
  <c r="G164" i="9" s="1"/>
  <c r="N8" i="5"/>
  <c r="T10" i="5"/>
  <c r="H10" i="5"/>
  <c r="N11" i="5"/>
  <c r="O14" i="5"/>
  <c r="T6" i="6"/>
  <c r="H6" i="6"/>
  <c r="N7" i="6"/>
  <c r="O10" i="6"/>
  <c r="T13" i="7"/>
  <c r="H13" i="7"/>
  <c r="T9" i="8"/>
  <c r="H9" i="8"/>
  <c r="N11" i="4"/>
  <c r="T13" i="5"/>
  <c r="H13" i="5"/>
  <c r="T9" i="6"/>
  <c r="H9" i="6"/>
  <c r="T16" i="7"/>
  <c r="T12" i="8"/>
  <c r="T15" i="8"/>
  <c r="T16" i="5"/>
  <c r="T12" i="6"/>
  <c r="P16" i="6"/>
  <c r="O16" i="6"/>
  <c r="T5" i="7"/>
  <c r="H5" i="7"/>
  <c r="N13" i="8"/>
  <c r="T13" i="8"/>
  <c r="H15" i="8"/>
  <c r="I4" i="5"/>
  <c r="T5" i="5"/>
  <c r="H5" i="5"/>
  <c r="I7" i="5"/>
  <c r="T14" i="5"/>
  <c r="T10" i="6"/>
  <c r="N13" i="6"/>
  <c r="T13" i="6"/>
  <c r="U15" i="6"/>
  <c r="T8" i="7"/>
  <c r="T11" i="7"/>
  <c r="H14" i="7"/>
  <c r="U14" i="7"/>
  <c r="H16" i="7"/>
  <c r="T4" i="8"/>
  <c r="T7" i="8"/>
  <c r="H10" i="8"/>
  <c r="U10" i="8"/>
  <c r="H12" i="8"/>
  <c r="O14" i="8"/>
  <c r="C61" i="13"/>
  <c r="T11" i="5"/>
  <c r="H14" i="5"/>
  <c r="T7" i="6"/>
  <c r="H10" i="6"/>
  <c r="T6" i="7"/>
  <c r="N9" i="7"/>
  <c r="T9" i="7"/>
  <c r="N13" i="7"/>
  <c r="F17" i="8"/>
  <c r="N5" i="8"/>
  <c r="T5" i="8"/>
  <c r="N9" i="8"/>
  <c r="H13" i="8"/>
  <c r="C46" i="13"/>
  <c r="F91" i="13"/>
  <c r="G79" i="13"/>
  <c r="G91" i="13" s="1"/>
  <c r="H11" i="4"/>
  <c r="T6" i="5"/>
  <c r="N9" i="5"/>
  <c r="T9" i="5"/>
  <c r="N10" i="5"/>
  <c r="N13" i="5"/>
  <c r="F17" i="6"/>
  <c r="N5" i="6"/>
  <c r="T5" i="6"/>
  <c r="N6" i="6"/>
  <c r="N9" i="6"/>
  <c r="H13" i="6"/>
  <c r="H6" i="7"/>
  <c r="T14" i="8"/>
  <c r="H14" i="8"/>
  <c r="P6" i="6" l="1"/>
  <c r="O6" i="6"/>
  <c r="V13" i="8"/>
  <c r="U13" i="8"/>
  <c r="V14" i="6"/>
  <c r="U14" i="6"/>
  <c r="J11" i="4"/>
  <c r="I11" i="4"/>
  <c r="V10" i="6"/>
  <c r="U10" i="6"/>
  <c r="J10" i="3"/>
  <c r="I10" i="3"/>
  <c r="V14" i="5"/>
  <c r="U14" i="5"/>
  <c r="I5" i="7"/>
  <c r="I17" i="7" s="1"/>
  <c r="J5" i="7"/>
  <c r="V16" i="7"/>
  <c r="U16" i="7"/>
  <c r="I13" i="7"/>
  <c r="J13" i="7"/>
  <c r="J10" i="5"/>
  <c r="I10" i="5"/>
  <c r="V7" i="4"/>
  <c r="U7" i="4"/>
  <c r="U17" i="4" s="1"/>
  <c r="I14" i="4"/>
  <c r="J14" i="4"/>
  <c r="O13" i="3"/>
  <c r="P13" i="3"/>
  <c r="O6" i="4"/>
  <c r="P6" i="4"/>
  <c r="O13" i="6"/>
  <c r="P13" i="6"/>
  <c r="P14" i="3"/>
  <c r="O14" i="3"/>
  <c r="V5" i="6"/>
  <c r="V17" i="6" s="1"/>
  <c r="U5" i="6"/>
  <c r="O13" i="8"/>
  <c r="P13" i="8"/>
  <c r="O5" i="6"/>
  <c r="P5" i="6"/>
  <c r="O13" i="7"/>
  <c r="P13" i="7"/>
  <c r="J14" i="8"/>
  <c r="I14" i="8"/>
  <c r="U9" i="7"/>
  <c r="V9" i="7"/>
  <c r="J14" i="7"/>
  <c r="I14" i="7"/>
  <c r="U5" i="7"/>
  <c r="U17" i="7" s="1"/>
  <c r="V5" i="7"/>
  <c r="V17" i="7" s="1"/>
  <c r="I9" i="6"/>
  <c r="J9" i="6"/>
  <c r="U13" i="7"/>
  <c r="V13" i="7"/>
  <c r="V10" i="5"/>
  <c r="U10" i="5"/>
  <c r="P7" i="4"/>
  <c r="O7" i="4"/>
  <c r="O17" i="4" s="1"/>
  <c r="P4" i="3"/>
  <c r="O4" i="3"/>
  <c r="V14" i="4"/>
  <c r="U14" i="4"/>
  <c r="J6" i="3"/>
  <c r="I6" i="3"/>
  <c r="I6" i="4"/>
  <c r="J6" i="4"/>
  <c r="J17" i="4" s="1"/>
  <c r="O6" i="8"/>
  <c r="P6" i="8"/>
  <c r="I14" i="5"/>
  <c r="J14" i="5"/>
  <c r="J16" i="7"/>
  <c r="I16" i="7"/>
  <c r="V10" i="3"/>
  <c r="U10" i="3"/>
  <c r="U14" i="8"/>
  <c r="V14" i="8"/>
  <c r="P13" i="5"/>
  <c r="O13" i="5"/>
  <c r="O9" i="7"/>
  <c r="P9" i="7"/>
  <c r="J12" i="8"/>
  <c r="I12" i="8"/>
  <c r="V11" i="7"/>
  <c r="U11" i="7"/>
  <c r="I5" i="5"/>
  <c r="I17" i="5" s="1"/>
  <c r="J5" i="5"/>
  <c r="J17" i="5" s="1"/>
  <c r="U9" i="6"/>
  <c r="V9" i="6"/>
  <c r="P8" i="5"/>
  <c r="P17" i="5" s="1"/>
  <c r="O8" i="5"/>
  <c r="O17" i="5" s="1"/>
  <c r="V4" i="5"/>
  <c r="U4" i="5"/>
  <c r="O10" i="7"/>
  <c r="P10" i="7"/>
  <c r="V4" i="3"/>
  <c r="U4" i="3"/>
  <c r="U6" i="4"/>
  <c r="V6" i="4"/>
  <c r="V17" i="4" s="1"/>
  <c r="J6" i="8"/>
  <c r="J17" i="8" s="1"/>
  <c r="I6" i="8"/>
  <c r="I17" i="8" s="1"/>
  <c r="V6" i="5"/>
  <c r="U6" i="5"/>
  <c r="V12" i="8"/>
  <c r="U12" i="8"/>
  <c r="I13" i="8"/>
  <c r="J13" i="8"/>
  <c r="U6" i="7"/>
  <c r="V6" i="7"/>
  <c r="V8" i="7"/>
  <c r="U8" i="7"/>
  <c r="U5" i="5"/>
  <c r="V5" i="5"/>
  <c r="I13" i="5"/>
  <c r="J13" i="5"/>
  <c r="P7" i="6"/>
  <c r="O7" i="6"/>
  <c r="J10" i="7"/>
  <c r="I10" i="7"/>
  <c r="P4" i="6"/>
  <c r="O4" i="6"/>
  <c r="I13" i="3"/>
  <c r="J13" i="3"/>
  <c r="U13" i="3"/>
  <c r="V13" i="3"/>
  <c r="V6" i="8"/>
  <c r="U6" i="8"/>
  <c r="J15" i="4"/>
  <c r="I15" i="4"/>
  <c r="V4" i="8"/>
  <c r="V17" i="8" s="1"/>
  <c r="U4" i="8"/>
  <c r="U17" i="8" s="1"/>
  <c r="I9" i="8"/>
  <c r="J9" i="8"/>
  <c r="V11" i="5"/>
  <c r="U11" i="5"/>
  <c r="U9" i="8"/>
  <c r="V9" i="8"/>
  <c r="J7" i="4"/>
  <c r="I7" i="4"/>
  <c r="I17" i="4" s="1"/>
  <c r="O10" i="4"/>
  <c r="P10" i="4"/>
  <c r="P14" i="4"/>
  <c r="O14" i="4"/>
  <c r="J6" i="7"/>
  <c r="I6" i="7"/>
  <c r="J13" i="6"/>
  <c r="I13" i="6"/>
  <c r="V9" i="5"/>
  <c r="U9" i="5"/>
  <c r="O9" i="8"/>
  <c r="P9" i="8"/>
  <c r="I10" i="6"/>
  <c r="J10" i="6"/>
  <c r="J10" i="8"/>
  <c r="I10" i="8"/>
  <c r="V12" i="6"/>
  <c r="U12" i="6"/>
  <c r="U13" i="5"/>
  <c r="V13" i="5"/>
  <c r="J6" i="6"/>
  <c r="J17" i="6" s="1"/>
  <c r="I6" i="6"/>
  <c r="I17" i="6" s="1"/>
  <c r="P14" i="6"/>
  <c r="O14" i="6"/>
  <c r="J14" i="3"/>
  <c r="I14" i="3"/>
  <c r="V10" i="7"/>
  <c r="U10" i="7"/>
  <c r="J4" i="3"/>
  <c r="I4" i="3"/>
  <c r="I17" i="3" s="1"/>
  <c r="O17" i="7"/>
  <c r="V15" i="4"/>
  <c r="U15" i="4"/>
  <c r="O5" i="8"/>
  <c r="P5" i="8"/>
  <c r="V15" i="8"/>
  <c r="U15" i="8"/>
  <c r="U10" i="4"/>
  <c r="V10" i="4"/>
  <c r="P11" i="5"/>
  <c r="O11" i="5"/>
  <c r="P10" i="5"/>
  <c r="O10" i="5"/>
  <c r="P9" i="6"/>
  <c r="O9" i="6"/>
  <c r="O9" i="5"/>
  <c r="P9" i="5"/>
  <c r="U5" i="8"/>
  <c r="V5" i="8"/>
  <c r="V7" i="6"/>
  <c r="U7" i="6"/>
  <c r="V7" i="8"/>
  <c r="U7" i="8"/>
  <c r="V13" i="6"/>
  <c r="U13" i="6"/>
  <c r="J15" i="8"/>
  <c r="I15" i="8"/>
  <c r="V16" i="5"/>
  <c r="U16" i="5"/>
  <c r="P11" i="4"/>
  <c r="O11" i="4"/>
  <c r="V6" i="6"/>
  <c r="U6" i="6"/>
  <c r="U17" i="6" s="1"/>
  <c r="J14" i="6"/>
  <c r="I14" i="6"/>
  <c r="V14" i="3"/>
  <c r="U14" i="3"/>
  <c r="I10" i="4"/>
  <c r="J10" i="4"/>
  <c r="P17" i="7"/>
  <c r="P4" i="8"/>
  <c r="O4" i="8"/>
  <c r="O15" i="4"/>
  <c r="P15" i="4"/>
  <c r="J17" i="7" l="1"/>
  <c r="J17" i="3"/>
  <c r="U17" i="5"/>
  <c r="O17" i="6"/>
  <c r="V17" i="5"/>
  <c r="O17" i="3"/>
  <c r="P17" i="4"/>
  <c r="P17" i="6"/>
  <c r="O17" i="8"/>
  <c r="U17" i="3"/>
  <c r="P17" i="3"/>
  <c r="P17" i="8"/>
  <c r="V17" i="3"/>
</calcChain>
</file>

<file path=xl/sharedStrings.xml><?xml version="1.0" encoding="utf-8"?>
<sst xmlns="http://schemas.openxmlformats.org/spreadsheetml/2006/main" count="1437" uniqueCount="631">
  <si>
    <t xml:space="preserve"> </t>
  </si>
  <si>
    <t>Please cite this dataset as:</t>
  </si>
  <si>
    <t xml:space="preserve">Claudia M. Costa, Julie A. Wernert, D. F. McMullen, Craig A. Stewart, Phillip D. Blood, Robert Sinkovits, Susan Mehringer, Richard Knepper, and Gary Rogers. 2021. </t>
  </si>
  <si>
    <t xml:space="preserve">All spreadsheets refer to program years of the combined XSEDE and XSEDE2 awards. </t>
  </si>
  <si>
    <t>We take the approach of counting the five program years of XSEDE as PY1 through PY5. Technically the correct way to count program years for XSEDE2 is PY1 of XSEDE2, PY2 of XSEDE2, etc.</t>
  </si>
  <si>
    <t>For simplicity, we take the technically incorrect, but clear approach of calling PY1 of XSEDE2 as PY6 of the overall XSEDE project.</t>
  </si>
  <si>
    <t>The Program Years and Dates considered in this report are as follows:</t>
  </si>
  <si>
    <t>Program Year</t>
  </si>
  <si>
    <t>Start</t>
  </si>
  <si>
    <t>End</t>
  </si>
  <si>
    <t>PY4</t>
  </si>
  <si>
    <t>PY5</t>
  </si>
  <si>
    <t>PY6</t>
  </si>
  <si>
    <t>PY7</t>
  </si>
  <si>
    <t>PY8</t>
  </si>
  <si>
    <t>PY9</t>
  </si>
  <si>
    <t>Table of Contents for this worksheet</t>
  </si>
  <si>
    <t>Dataset tabs</t>
  </si>
  <si>
    <t>Contents</t>
  </si>
  <si>
    <t>1. Total ROI</t>
  </si>
  <si>
    <t>Calculation of ROI across all investment and return measures</t>
  </si>
  <si>
    <t>2. SP PY4</t>
  </si>
  <si>
    <t>Program Year 4 SP survey analysis</t>
  </si>
  <si>
    <t>3. SP PY5</t>
  </si>
  <si>
    <t>Program Year 5 SP survey analysis</t>
  </si>
  <si>
    <t>4. SP PY6</t>
  </si>
  <si>
    <t>Program Year 6 SP survey analysis</t>
  </si>
  <si>
    <t>5. SP PY7</t>
  </si>
  <si>
    <t>Program Year 7 SP survey analysis</t>
  </si>
  <si>
    <t>6. SP PY8</t>
  </si>
  <si>
    <t>Program Year 8 SP survey analysis</t>
  </si>
  <si>
    <t>7. SP PY9</t>
  </si>
  <si>
    <t>Program Year 9 SP survey analysis</t>
  </si>
  <si>
    <t>8. ECSS</t>
  </si>
  <si>
    <t>Valuation of ECSS to users</t>
  </si>
  <si>
    <t>9. Training</t>
  </si>
  <si>
    <t>Valuation of Training to users</t>
  </si>
  <si>
    <t>10. Helpdesk</t>
  </si>
  <si>
    <t>Valuation of Helpdesk support to users</t>
  </si>
  <si>
    <t>11. CRI</t>
  </si>
  <si>
    <t>Valuation of Campus Bridging and software repository to campuses</t>
  </si>
  <si>
    <t>12. Expenses</t>
  </si>
  <si>
    <t>Total cost to XSEDE for staff</t>
  </si>
  <si>
    <t>13. Costs</t>
  </si>
  <si>
    <t>Proxy cost measures for CRI, ECSS, Helpdesk, and Training</t>
  </si>
  <si>
    <t>14. Cost Details</t>
  </si>
  <si>
    <t>Cost basis detailed information for Tab 13</t>
  </si>
  <si>
    <t>15. Response Rate</t>
  </si>
  <si>
    <t>Response rate for the surveys</t>
  </si>
  <si>
    <t>XSEDE Value by Category</t>
  </si>
  <si>
    <t>XSEDE Return on Investment (Project Years 4-9)</t>
  </si>
  <si>
    <t>Category of Value 
(Return proxy)</t>
  </si>
  <si>
    <t>PY4
Jul14-Jun15</t>
  </si>
  <si>
    <t>PY5
Jul15-Aug16</t>
  </si>
  <si>
    <t>PY6
Sep16-Aug17</t>
  </si>
  <si>
    <t>PY7
Sep17-Aug18</t>
  </si>
  <si>
    <t>PY8
Sep18-Aug19</t>
  </si>
  <si>
    <t>PY9
Sep19-Aug20</t>
  </si>
  <si>
    <t>Combined 
PY4-PY9</t>
  </si>
  <si>
    <t>XSEDE value to L1 SPs</t>
  </si>
  <si>
    <t>XSEDE value to L2 SPs</t>
  </si>
  <si>
    <t>XSEDE value to L3 SPs</t>
  </si>
  <si>
    <t>XSEDE value to SPs Subtotal</t>
  </si>
  <si>
    <t>ECSS value to PIs</t>
  </si>
  <si>
    <t>Extended Support value Subtotal</t>
  </si>
  <si>
    <t>Helpdesk value</t>
  </si>
  <si>
    <t>NA</t>
  </si>
  <si>
    <t>Training value</t>
  </si>
  <si>
    <t>Operations value Subtotal</t>
  </si>
  <si>
    <t>CRI Software Distribution</t>
  </si>
  <si>
    <t>CRI Site Visits</t>
  </si>
  <si>
    <t>Resource Integration Subtotal</t>
  </si>
  <si>
    <t>Training value Subtotal</t>
  </si>
  <si>
    <t>XSEDE Total Proxy Value</t>
  </si>
  <si>
    <t>XSEDE Total Expenditure</t>
  </si>
  <si>
    <t>XSEDE Total ROI proxy</t>
  </si>
  <si>
    <t>PY4 (Jul14-Jun15)</t>
  </si>
  <si>
    <t>XSEDE Project Year 4</t>
  </si>
  <si>
    <t>Level 1</t>
  </si>
  <si>
    <t>Level 2</t>
  </si>
  <si>
    <t>Level 3</t>
  </si>
  <si>
    <t>Resource</t>
  </si>
  <si>
    <t>Actual Cost/FTE</t>
  </si>
  <si>
    <t>Actual FTEs</t>
  </si>
  <si>
    <t>Total Resource Budget</t>
  </si>
  <si>
    <t>Average FTEs/SP</t>
  </si>
  <si>
    <t>L1 SPs Answers</t>
  </si>
  <si>
    <t>Total Value per L1 SP</t>
  </si>
  <si>
    <t>Total Value for Surveyed L1 SPs</t>
  </si>
  <si>
    <t>Total Value for All L1 SPs extrapolated N=5</t>
  </si>
  <si>
    <t>L2 SPs Answers</t>
  </si>
  <si>
    <t>Total Value per L2 SP</t>
  </si>
  <si>
    <t>Total Value for Surveyed L2 SPs</t>
  </si>
  <si>
    <t>Total Value for All L2 SPs extrapolated N=5</t>
  </si>
  <si>
    <t>L3 SPs Answers</t>
  </si>
  <si>
    <t>Total Value per L3 SP</t>
  </si>
  <si>
    <t>Total Value for Surveyed L3 SPs</t>
  </si>
  <si>
    <t>Total Value for All L2 SPs extrapolated N=7</t>
  </si>
  <si>
    <t>Allocations</t>
  </si>
  <si>
    <t>Account Management and Authentication Services</t>
  </si>
  <si>
    <t>24x7 Operations</t>
  </si>
  <si>
    <t>Ticket Support</t>
  </si>
  <si>
    <t>*</t>
  </si>
  <si>
    <t>User Survey</t>
  </si>
  <si>
    <t>Leadership</t>
  </si>
  <si>
    <t>Project Management and Financial Functions</t>
  </si>
  <si>
    <t>User Information Services, including XSEDE.org</t>
  </si>
  <si>
    <t>Training and Education</t>
  </si>
  <si>
    <t>Outreach</t>
  </si>
  <si>
    <t>Network</t>
  </si>
  <si>
    <t>Systems Engineering and Deployment</t>
  </si>
  <si>
    <t>Parallel Computing Support, Advanced Support, Consultation, and Programming</t>
  </si>
  <si>
    <t>Totals</t>
  </si>
  <si>
    <t>* FTEs and budget for Network and Ticket Support services are included in the Operations budget line</t>
  </si>
  <si>
    <t>** Budget and FTE values provided by the XSEDE Project Office; all other data reported by SPs</t>
  </si>
  <si>
    <t>column</t>
  </si>
  <si>
    <t>definition</t>
  </si>
  <si>
    <t>F, L, R</t>
  </si>
  <si>
    <t>Average FTE effort needed for SP to provide same service (per level)</t>
  </si>
  <si>
    <t>G, M, S</t>
  </si>
  <si>
    <t>Number of SPs responding the survey (per level)</t>
  </si>
  <si>
    <t>H, N, T</t>
  </si>
  <si>
    <t>Average value of service provided to SPs (per level)</t>
  </si>
  <si>
    <t>I, O, U</t>
  </si>
  <si>
    <t>Total value received by surveyed SPs (per level)</t>
  </si>
  <si>
    <t>J, P, V</t>
  </si>
  <si>
    <t>Estimated total value extrapolating value to full SP population (per level)</t>
  </si>
  <si>
    <t>PY5 (Jul15-Aug16)</t>
  </si>
  <si>
    <t>XSEDE Project Year 5</t>
  </si>
  <si>
    <t>L1 SPs Answered</t>
  </si>
  <si>
    <t>L2 SPs Answered</t>
  </si>
  <si>
    <t>L3 SPs Answered</t>
  </si>
  <si>
    <t>Total Value for All L3 SPs extrapolated N=7</t>
  </si>
  <si>
    <t>PY6 (Sep16-Aug17)</t>
  </si>
  <si>
    <t>XSEDE Project Year 6</t>
  </si>
  <si>
    <t>Total Resource Expenses</t>
  </si>
  <si>
    <t>Total Value for All L1 SPs extrapolated N=4</t>
  </si>
  <si>
    <t>Total Value for All L2 SPs extrapolated N=8</t>
  </si>
  <si>
    <t>Total Value for All L3 SPs extrapolated N=21</t>
  </si>
  <si>
    <t>* FTEs and expenses for Network and Ticket Support services are included in the Operations budget line</t>
  </si>
  <si>
    <t>** Expenses and FTE values provided by the XSEDE Project Office; all other data reported by SPs</t>
  </si>
  <si>
    <t>PY7 (Sep17-Aug18)</t>
  </si>
  <si>
    <t>XSEDE Project Year 7</t>
  </si>
  <si>
    <t>Total Value for All L2 SPs extrapolated N=9</t>
  </si>
  <si>
    <t>Total Value for All L3 SPs extrapolated N=23</t>
  </si>
  <si>
    <t>PY8 (Sep18-Aug19)</t>
  </si>
  <si>
    <t>XSEDE Project Year 8</t>
  </si>
  <si>
    <t>Total Value
for Surveyed
L1 SPs</t>
  </si>
  <si>
    <t>Total Value for All L3 SPs extrapolated N=25</t>
  </si>
  <si>
    <t>PY9 (Sep19-Aug20)</t>
  </si>
  <si>
    <t>XSEDE Project Year 9</t>
  </si>
  <si>
    <t>Total Value for All L3 SPs extrapolated N=26</t>
  </si>
  <si>
    <t>ECSS Months Taken</t>
  </si>
  <si>
    <t>PI</t>
  </si>
  <si>
    <t>Timeframe</t>
  </si>
  <si>
    <t>WBS</t>
  </si>
  <si>
    <t>Months saved (months taken - 3)</t>
  </si>
  <si>
    <t>Months it would have taken</t>
  </si>
  <si>
    <t>PY4-PI1</t>
  </si>
  <si>
    <t>ESSGW</t>
  </si>
  <si>
    <t>REPLICATED DATA</t>
  </si>
  <si>
    <t>PY4-PI2</t>
  </si>
  <si>
    <t>ESCC</t>
  </si>
  <si>
    <t>Overlapping with PY6 recorded above</t>
  </si>
  <si>
    <t>PY4-PI3</t>
  </si>
  <si>
    <t>ESRT</t>
  </si>
  <si>
    <t>PY6IPR3</t>
  </si>
  <si>
    <t>PY4-PI4</t>
  </si>
  <si>
    <t>PY4-PI5</t>
  </si>
  <si>
    <t>PY4-PI6</t>
  </si>
  <si>
    <t>PY4-PI7</t>
  </si>
  <si>
    <t>PY4-PI8</t>
  </si>
  <si>
    <t>PY4-PI9</t>
  </si>
  <si>
    <t>PY4-PI10</t>
  </si>
  <si>
    <t>PY4-PI11</t>
  </si>
  <si>
    <t>PY4-PI12</t>
  </si>
  <si>
    <t>Person Years</t>
  </si>
  <si>
    <t>Value</t>
  </si>
  <si>
    <t>PY4 Total</t>
  </si>
  <si>
    <t>Actual</t>
  </si>
  <si>
    <t>PY4 Projects</t>
  </si>
  <si>
    <t>Average</t>
  </si>
  <si>
    <t>Salary 2015</t>
  </si>
  <si>
    <t>Alternate</t>
  </si>
  <si>
    <t>PY6IPR4</t>
  </si>
  <si>
    <t>PY5-PI1</t>
  </si>
  <si>
    <t>PY5-PI2</t>
  </si>
  <si>
    <t>PY5-PI3</t>
  </si>
  <si>
    <t>PY5-PI4</t>
  </si>
  <si>
    <t>PY5-PI5</t>
  </si>
  <si>
    <t>PY5-PI6</t>
  </si>
  <si>
    <t>PY5-PI7</t>
  </si>
  <si>
    <t>Accounted for in PY7</t>
  </si>
  <si>
    <t>PY5-PI8</t>
  </si>
  <si>
    <t>Chatzikos</t>
  </si>
  <si>
    <t>PY5-PI9</t>
  </si>
  <si>
    <t>Halzen</t>
  </si>
  <si>
    <t>PY5-PI10</t>
  </si>
  <si>
    <t>Chandran</t>
  </si>
  <si>
    <t>PY5-PI11</t>
  </si>
  <si>
    <t>Kooperman</t>
  </si>
  <si>
    <t>PY5-PI12</t>
  </si>
  <si>
    <t>Ganapathysubram</t>
  </si>
  <si>
    <t>PY5-PI13</t>
  </si>
  <si>
    <t>PY5-PI14</t>
  </si>
  <si>
    <t>PY5-PI15</t>
  </si>
  <si>
    <t>PY5-PI16</t>
  </si>
  <si>
    <t>ESRT = Extended Support for Research Teams</t>
  </si>
  <si>
    <t>PY5-PI17</t>
  </si>
  <si>
    <t>ESCC = Extended Support Community Codes</t>
  </si>
  <si>
    <t>PY5-PI18</t>
  </si>
  <si>
    <t>ESSGW = Extended Support for Science Gateways</t>
  </si>
  <si>
    <t>PY5-PI19</t>
  </si>
  <si>
    <t>PY5-PI20</t>
  </si>
  <si>
    <t>PY5-PI21</t>
  </si>
  <si>
    <t>PY5-PI22</t>
  </si>
  <si>
    <t>PIs Alphabetical Order</t>
  </si>
  <si>
    <t>PY5-PI23</t>
  </si>
  <si>
    <t>Arefiev</t>
  </si>
  <si>
    <t>PY5-PI24</t>
  </si>
  <si>
    <t>Ascenzi</t>
  </si>
  <si>
    <t>PY5 Total</t>
  </si>
  <si>
    <t>Baker</t>
  </si>
  <si>
    <t>PY5 Projects</t>
  </si>
  <si>
    <t>Barbone</t>
  </si>
  <si>
    <t>Salary 2016</t>
  </si>
  <si>
    <t>Bell/White</t>
  </si>
  <si>
    <t>Berman</t>
  </si>
  <si>
    <t>PY6-PI1</t>
  </si>
  <si>
    <t>Bhargava</t>
  </si>
  <si>
    <t>PY6-PI2</t>
  </si>
  <si>
    <t>Bilskei</t>
  </si>
  <si>
    <t>PY6-PI3</t>
  </si>
  <si>
    <t>Bodony</t>
  </si>
  <si>
    <t>PY6-PI4</t>
  </si>
  <si>
    <t>Brown</t>
  </si>
  <si>
    <t>PY6-PI5</t>
  </si>
  <si>
    <t>Casabianca</t>
  </si>
  <si>
    <t>PY6-PI6</t>
  </si>
  <si>
    <t>Cauwenberghs</t>
  </si>
  <si>
    <t>PY6-PI7</t>
  </si>
  <si>
    <t>PY6-PI8</t>
  </si>
  <si>
    <t>PY6-PI9</t>
  </si>
  <si>
    <t>Cheatham</t>
  </si>
  <si>
    <t>PY6-PI10</t>
  </si>
  <si>
    <t>Choy</t>
  </si>
  <si>
    <t>PY6-PI11</t>
  </si>
  <si>
    <t>Cooperman</t>
  </si>
  <si>
    <t>PY6-PI12</t>
  </si>
  <si>
    <t>Cowen</t>
  </si>
  <si>
    <t>PY6-PI13</t>
  </si>
  <si>
    <t>Cui</t>
  </si>
  <si>
    <t>PY6-PI14</t>
  </si>
  <si>
    <t>Ferrante</t>
  </si>
  <si>
    <t>PY6-PI15</t>
  </si>
  <si>
    <t>Finlator</t>
  </si>
  <si>
    <t>PY6-PI16</t>
  </si>
  <si>
    <t>Fragile</t>
  </si>
  <si>
    <t>PY6-PI17</t>
  </si>
  <si>
    <t>Fu</t>
  </si>
  <si>
    <t>PY6-PI18</t>
  </si>
  <si>
    <t>Ganapathy</t>
  </si>
  <si>
    <t>PY6-PI19</t>
  </si>
  <si>
    <t>Gesing</t>
  </si>
  <si>
    <t>PY6-PI20</t>
  </si>
  <si>
    <t>Ghaffari</t>
  </si>
  <si>
    <t>PY6-PI21</t>
  </si>
  <si>
    <t>Golden</t>
  </si>
  <si>
    <t>PY6-PI22</t>
  </si>
  <si>
    <t>Gray</t>
  </si>
  <si>
    <t>PY6-PI23</t>
  </si>
  <si>
    <t>Gubbins</t>
  </si>
  <si>
    <t>PY6-PI24</t>
  </si>
  <si>
    <t>PY6-PI25</t>
  </si>
  <si>
    <t>Huber</t>
  </si>
  <si>
    <t>PY6-PI26</t>
  </si>
  <si>
    <t>Humphrey</t>
  </si>
  <si>
    <t>PY6-PI27</t>
  </si>
  <si>
    <t>Jewett</t>
  </si>
  <si>
    <t>PY6-PI28</t>
  </si>
  <si>
    <t>Jordan</t>
  </si>
  <si>
    <t>PY6-PI29</t>
  </si>
  <si>
    <t>Kim</t>
  </si>
  <si>
    <t>PY6-PI30</t>
  </si>
  <si>
    <t>PY6-PI31</t>
  </si>
  <si>
    <t>Kuhn</t>
  </si>
  <si>
    <t>PY6-PI32</t>
  </si>
  <si>
    <t>Kushnir</t>
  </si>
  <si>
    <t>PY6-PI33</t>
  </si>
  <si>
    <t>Lau</t>
  </si>
  <si>
    <t>PY6 Total</t>
  </si>
  <si>
    <t>Lebauer</t>
  </si>
  <si>
    <t>PY6 Projects</t>
  </si>
  <si>
    <t>LeDuc</t>
  </si>
  <si>
    <t>Salary 2017</t>
  </si>
  <si>
    <t>Leschziner</t>
  </si>
  <si>
    <t>Ma</t>
  </si>
  <si>
    <t>PY7IPR4</t>
  </si>
  <si>
    <t>Marean</t>
  </si>
  <si>
    <t>Massey</t>
  </si>
  <si>
    <t>McGovern</t>
  </si>
  <si>
    <t>Meneveau</t>
  </si>
  <si>
    <t>Metcalfe</t>
  </si>
  <si>
    <t>PY7-PI1</t>
  </si>
  <si>
    <t>Mishra</t>
  </si>
  <si>
    <t>Moon</t>
  </si>
  <si>
    <t>PY7IPR5</t>
  </si>
  <si>
    <t>Mutangadura</t>
  </si>
  <si>
    <t>Nandigam</t>
  </si>
  <si>
    <t>Norman</t>
  </si>
  <si>
    <t>Ong</t>
  </si>
  <si>
    <t>Oppenheim</t>
  </si>
  <si>
    <t>PY7-PI2</t>
  </si>
  <si>
    <t>Pamidighantam</t>
  </si>
  <si>
    <t>Pelletier</t>
  </si>
  <si>
    <t>PY7-PI3</t>
  </si>
  <si>
    <t>Pink</t>
  </si>
  <si>
    <t>PY7-PI4</t>
  </si>
  <si>
    <t>Potoff</t>
  </si>
  <si>
    <t>PY7-PI5</t>
  </si>
  <si>
    <t>Rackauckas</t>
  </si>
  <si>
    <t>PY7Annual</t>
  </si>
  <si>
    <t>Rai</t>
  </si>
  <si>
    <t>Ramamurthy</t>
  </si>
  <si>
    <t>Ramkrishna</t>
  </si>
  <si>
    <t>Ren</t>
  </si>
  <si>
    <t>Rollet</t>
  </si>
  <si>
    <t>Rudolph</t>
  </si>
  <si>
    <t>Ruiz-Juri</t>
  </si>
  <si>
    <t>PY7-PI6</t>
  </si>
  <si>
    <t>PY7IPR7</t>
  </si>
  <si>
    <t>Sandholm</t>
  </si>
  <si>
    <t>PY7 Total</t>
  </si>
  <si>
    <t>Sansosti</t>
  </si>
  <si>
    <t>PY7 Projects</t>
  </si>
  <si>
    <t>Severin</t>
  </si>
  <si>
    <t>Salary 2018</t>
  </si>
  <si>
    <t>Shannahoff</t>
  </si>
  <si>
    <t>Shen</t>
  </si>
  <si>
    <t>PY8-PI1</t>
  </si>
  <si>
    <t>PY8IPR7</t>
  </si>
  <si>
    <t>Shook</t>
  </si>
  <si>
    <t>PY8-PI2</t>
  </si>
  <si>
    <t>Signell</t>
  </si>
  <si>
    <t>PY8-PI3</t>
  </si>
  <si>
    <t>Skidmore</t>
  </si>
  <si>
    <t>PY8-PI4</t>
  </si>
  <si>
    <t>Song</t>
  </si>
  <si>
    <t>PY8-PI5</t>
  </si>
  <si>
    <t>Stopa</t>
  </si>
  <si>
    <t>PY8-PI6</t>
  </si>
  <si>
    <t>Summers Engel</t>
  </si>
  <si>
    <t>PY8-PI7</t>
  </si>
  <si>
    <t>PY8IPR8</t>
  </si>
  <si>
    <t>Tao</t>
  </si>
  <si>
    <t>PY8-PI8</t>
  </si>
  <si>
    <t>Tarboton</t>
  </si>
  <si>
    <t>PY8-PI9</t>
  </si>
  <si>
    <t>Tipei</t>
  </si>
  <si>
    <t>PY8-PI10</t>
  </si>
  <si>
    <t>Voth</t>
  </si>
  <si>
    <t>PY8-PI11</t>
  </si>
  <si>
    <t>Wang</t>
  </si>
  <si>
    <t>PY8-PI12</t>
  </si>
  <si>
    <t>PY8Annual</t>
  </si>
  <si>
    <t>Warren</t>
  </si>
  <si>
    <t>PY8-PI13</t>
  </si>
  <si>
    <t>Wise</t>
  </si>
  <si>
    <t>PY8-PI14</t>
  </si>
  <si>
    <t>Witharana</t>
  </si>
  <si>
    <t>PY8-PI15</t>
  </si>
  <si>
    <t>Wuerffel</t>
  </si>
  <si>
    <t>PY8-PI16</t>
  </si>
  <si>
    <t>PY8IPR9</t>
  </si>
  <si>
    <t>Xu</t>
  </si>
  <si>
    <t>PY8-PI17</t>
  </si>
  <si>
    <t>PY8IPR10</t>
  </si>
  <si>
    <t>Yeung</t>
  </si>
  <si>
    <t>PY8-PI18</t>
  </si>
  <si>
    <t>Zeng</t>
  </si>
  <si>
    <t>PY8-PI19</t>
  </si>
  <si>
    <t>Zhao</t>
  </si>
  <si>
    <t>PY8-PI20</t>
  </si>
  <si>
    <t>PY8 Total</t>
  </si>
  <si>
    <t>PY8 Projects</t>
  </si>
  <si>
    <t>Salary 2019</t>
  </si>
  <si>
    <t>PY9-PI1</t>
  </si>
  <si>
    <t>PY9IPR10</t>
  </si>
  <si>
    <t>PY9-PI2</t>
  </si>
  <si>
    <t>PY9-PI3</t>
  </si>
  <si>
    <t>PY9-PI4</t>
  </si>
  <si>
    <t>PY9-PI5</t>
  </si>
  <si>
    <t>PY9-PI6</t>
  </si>
  <si>
    <t>PY9IPR11</t>
  </si>
  <si>
    <t>PY9-PI7</t>
  </si>
  <si>
    <t>PY9-PI8</t>
  </si>
  <si>
    <t>PY9-PI9</t>
  </si>
  <si>
    <t>PY9-PI10</t>
  </si>
  <si>
    <t>PY9-PI11</t>
  </si>
  <si>
    <t>PY9-PI12</t>
  </si>
  <si>
    <t>PY9Annual</t>
  </si>
  <si>
    <t>PY9-PI13</t>
  </si>
  <si>
    <t>PY9-PI14</t>
  </si>
  <si>
    <t>PY9-PI15</t>
  </si>
  <si>
    <t>PY9-PI16</t>
  </si>
  <si>
    <t>PY9-PI17</t>
  </si>
  <si>
    <t>PY9-PI18</t>
  </si>
  <si>
    <t>PY9-PI19</t>
  </si>
  <si>
    <t>PY9-PI20</t>
  </si>
  <si>
    <t>PY9IPR12</t>
  </si>
  <si>
    <t>PY9-PI21</t>
  </si>
  <si>
    <t>PY9-PI22</t>
  </si>
  <si>
    <t>PY9-PI23</t>
  </si>
  <si>
    <t>PY9 Total</t>
  </si>
  <si>
    <t>PY9 Projects</t>
  </si>
  <si>
    <t>Salary 2020</t>
  </si>
  <si>
    <t>Person-hours of training delivered</t>
  </si>
  <si>
    <t>Webinar</t>
  </si>
  <si>
    <t>Async</t>
  </si>
  <si>
    <t>Live</t>
  </si>
  <si>
    <t>Note: This is TRAINING data, not Education (well a bit is included if registered through course calendar)</t>
  </si>
  <si>
    <t xml:space="preserve">Webinars:  </t>
  </si>
  <si>
    <t>This number is pulled only from webinars that were offered and registered through the XUP course listing.</t>
  </si>
  <si>
    <t>The value is (# registrants) * (length of program in hours)</t>
  </si>
  <si>
    <t>Does not include walk-ins.</t>
  </si>
  <si>
    <t>Live:</t>
  </si>
  <si>
    <t>Dollar equivalent of training person-hours delivered</t>
  </si>
  <si>
    <t>Cost*</t>
  </si>
  <si>
    <t xml:space="preserve">Webinar </t>
  </si>
  <si>
    <t>Async:</t>
  </si>
  <si>
    <t xml:space="preserve">Three sources: </t>
  </si>
  <si>
    <t>1. YouTube/XSEDETRAINING</t>
  </si>
  <si>
    <t>Reporting watch time in hours as reported by youtube.</t>
  </si>
  <si>
    <t>Total</t>
  </si>
  <si>
    <t>The youtube/xsedetraining channel was created in Dec 2017, and first populated in May 2018.</t>
  </si>
  <si>
    <t>This is the only data included where we are counting all usage, not just by XUP usernames.</t>
  </si>
  <si>
    <t>2. CI-Tutor</t>
  </si>
  <si>
    <t>*Further explanation on Tabs 12 and 13</t>
  </si>
  <si>
    <t>Reporting (course registrants) * (instruction hours for that course)</t>
  </si>
  <si>
    <t>ONLY counting registrants using XUP username</t>
  </si>
  <si>
    <t>3. Cornell Virtual Workshop</t>
  </si>
  <si>
    <t>Reporting (course users) * (average instruction length for CVW courses)</t>
  </si>
  <si>
    <t>Note 2: async looks flat the last two years, but we see data that shows good usage, less authenticiation.  If we don't have the XUP username, we don't count it.</t>
  </si>
  <si>
    <t>All data based on registrant data and XUP usernames, except for YouTube.</t>
  </si>
  <si>
    <t>Helpdesk External Tickets</t>
  </si>
  <si>
    <t># External tickets</t>
  </si>
  <si>
    <t>XSEDE</t>
  </si>
  <si>
    <t>SP</t>
  </si>
  <si>
    <t>Download</t>
  </si>
  <si>
    <t>Compensation Cost*</t>
  </si>
  <si>
    <t>30m $</t>
  </si>
  <si>
    <t>CRI Campus Visits - Totals</t>
  </si>
  <si>
    <t>CRI Campus Visits - Data by University</t>
  </si>
  <si>
    <t>Person Days Savings</t>
  </si>
  <si>
    <t>1 day $</t>
  </si>
  <si>
    <t>Days Saved</t>
  </si>
  <si>
    <t>Marshall</t>
  </si>
  <si>
    <t>SIU</t>
  </si>
  <si>
    <t>Bentley</t>
  </si>
  <si>
    <t>UTEP</t>
  </si>
  <si>
    <t>Brandeis</t>
  </si>
  <si>
    <t>SDSU</t>
  </si>
  <si>
    <t>SRU</t>
  </si>
  <si>
    <t>Doane</t>
  </si>
  <si>
    <t>UCincy</t>
  </si>
  <si>
    <t>Oral Roberts</t>
  </si>
  <si>
    <t>Central OK</t>
  </si>
  <si>
    <t>Langston</t>
  </si>
  <si>
    <t>Software Savings</t>
  </si>
  <si>
    <t>Campus Visits Total</t>
  </si>
  <si>
    <t>Salary and total cost to XSEDE for various staff categories
(Done using data by individual WBS)</t>
  </si>
  <si>
    <t>WBS Mapping</t>
  </si>
  <si>
    <t>FTE</t>
  </si>
  <si>
    <t>FTE Cost</t>
  </si>
  <si>
    <t>Travel, workstation, et</t>
  </si>
  <si>
    <t>Total Budget</t>
  </si>
  <si>
    <t>1.3.4</t>
  </si>
  <si>
    <t>Allocations staff</t>
  </si>
  <si>
    <t>1.2.5</t>
  </si>
  <si>
    <t>Account management staff</t>
  </si>
  <si>
    <t>1.2.1, 1.2.2, 1.2.3, 1.2.6</t>
  </si>
  <si>
    <t>Operations staff and ticket support staff</t>
  </si>
  <si>
    <t>1.6.9</t>
  </si>
  <si>
    <t>User survey total cost (staff plus contract)</t>
  </si>
  <si>
    <t>1.1.1 (L1/L2s only), 1.1.4, 1.1.5</t>
  </si>
  <si>
    <t xml:space="preserve">XSEDE leadership - PI, Co-Pis </t>
  </si>
  <si>
    <t>1.1.1 (PMs &amp; Bus Office)</t>
  </si>
  <si>
    <t>Project management and financial management staff</t>
  </si>
  <si>
    <t>1.3.2</t>
  </si>
  <si>
    <t>Web site information</t>
  </si>
  <si>
    <t>1.3.1, 1.6.1, half 1.6.10</t>
  </si>
  <si>
    <t>Training staff</t>
  </si>
  <si>
    <t>1.3.3, 1.6.5-1.6.8, half 1.6.10</t>
  </si>
  <si>
    <t>Outreach staff</t>
  </si>
  <si>
    <r>
      <rPr>
        <sz val="10"/>
        <color rgb="FF000000"/>
        <rFont val="Calibri"/>
      </rPr>
      <t>Network staff</t>
    </r>
    <r>
      <rPr>
        <sz val="10"/>
        <color rgb="FFFF0000"/>
        <rFont val="Calibri"/>
      </rPr>
      <t xml:space="preserve"> (duplicate of "Operations Staff")</t>
    </r>
  </si>
  <si>
    <t>1.2.4, 1.1.2, 1.1.3, 1.1.6</t>
  </si>
  <si>
    <t>XCI staff</t>
  </si>
  <si>
    <t>1.4.x, 1.5.x</t>
  </si>
  <si>
    <t>ECSS staff</t>
  </si>
  <si>
    <t xml:space="preserve">Total: </t>
  </si>
  <si>
    <t>Web site information (Maytal and company)</t>
  </si>
  <si>
    <t>1.3.1, 1.6.1, 1.6.10 (half)</t>
  </si>
  <si>
    <t>1.3.3, 1.6.5-1.6.8, 1.6.10 (half)</t>
  </si>
  <si>
    <r>
      <rPr>
        <sz val="10"/>
        <color rgb="FF000000"/>
        <rFont val="Calibri"/>
      </rPr>
      <t>Network staff</t>
    </r>
    <r>
      <rPr>
        <sz val="10"/>
        <color rgb="FFFF0000"/>
        <rFont val="Calibri"/>
      </rPr>
      <t xml:space="preserve"> (duplicate of "Operations Staff")</t>
    </r>
  </si>
  <si>
    <t>Travel, workstation, etc</t>
  </si>
  <si>
    <t>Total Cost</t>
  </si>
  <si>
    <t>Total Cost
per FTE</t>
  </si>
  <si>
    <t>2.5.2</t>
  </si>
  <si>
    <t>2.5.3</t>
  </si>
  <si>
    <t>2.4.2-2.4.5</t>
  </si>
  <si>
    <t>2.6.5 (Eval)</t>
  </si>
  <si>
    <t>2.x.1 (Mgmt), 2.6.2, 2.6.5 (Strategy)</t>
  </si>
  <si>
    <t>2.x.1 (PMs), 2.6.3, 2.6.4</t>
  </si>
  <si>
    <t>2.1.5</t>
  </si>
  <si>
    <t>2.1.2</t>
  </si>
  <si>
    <t>2.1.3, 2.1.4, 2.1.6</t>
  </si>
  <si>
    <r>
      <rPr>
        <sz val="10"/>
        <color rgb="FF000000"/>
        <rFont val="Calibri"/>
      </rPr>
      <t>Network staff</t>
    </r>
    <r>
      <rPr>
        <sz val="10"/>
        <color rgb="FFFF0000"/>
        <rFont val="Calibri"/>
      </rPr>
      <t xml:space="preserve"> (duplicate of "Operations Staff")</t>
    </r>
  </si>
  <si>
    <t>2.3.2-2.3.3</t>
  </si>
  <si>
    <t>2.2.2-2.2.6</t>
  </si>
  <si>
    <t>Total cost</t>
  </si>
  <si>
    <t>Total cost 
per FTE</t>
  </si>
  <si>
    <r>
      <rPr>
        <sz val="10"/>
        <color rgb="FF000000"/>
        <rFont val="Calibri"/>
      </rPr>
      <t>Network staff</t>
    </r>
    <r>
      <rPr>
        <sz val="10"/>
        <color rgb="FFFF0000"/>
        <rFont val="Calibri"/>
      </rPr>
      <t xml:space="preserve"> (duplicate of "Operations Staff")</t>
    </r>
  </si>
  <si>
    <r>
      <rPr>
        <sz val="10"/>
        <color rgb="FF000000"/>
        <rFont val="Calibri"/>
      </rPr>
      <t>Network staff</t>
    </r>
    <r>
      <rPr>
        <sz val="10"/>
        <color rgb="FFFF0000"/>
        <rFont val="Calibri"/>
      </rPr>
      <t xml:space="preserve"> (duplicate of "Operations Staff")</t>
    </r>
  </si>
  <si>
    <t>Total Cost per FTE</t>
  </si>
  <si>
    <t>XSEDE leadership - PI, Co-Pis</t>
  </si>
  <si>
    <r>
      <rPr>
        <sz val="10"/>
        <color rgb="FF000000"/>
        <rFont val="Calibri"/>
      </rPr>
      <t>Network staff</t>
    </r>
    <r>
      <rPr>
        <sz val="10"/>
        <color rgb="FFFF0000"/>
        <rFont val="Calibri"/>
      </rPr>
      <t xml:space="preserve"> (duplicate of "Operations Staff")</t>
    </r>
  </si>
  <si>
    <t>Cost basis for calculating Return Proxy</t>
  </si>
  <si>
    <t>URL for reference</t>
  </si>
  <si>
    <t xml:space="preserve">XSEDE value to SPs   </t>
  </si>
  <si>
    <t>Used values from XSEDE budget (different value for each budget category). More details on tab Budget</t>
  </si>
  <si>
    <t>ECSS value to PIs (Reference: Computer and Information Research Scientist)</t>
  </si>
  <si>
    <t>Salary</t>
  </si>
  <si>
    <t>https://www.bls.gov/oes/special.requests/oesm15nat.zip</t>
  </si>
  <si>
    <t>https://www.bls.gov/oes/2016/may/oes151111.htm</t>
  </si>
  <si>
    <t>https://www.bls.gov/oes/2017/may/oes151111.htm</t>
  </si>
  <si>
    <t>https://www.bls.gov/oes/2018/may/oes151111.htm</t>
  </si>
  <si>
    <t>https://www.bls.gov/oes/2019/may/oes151221.htm)</t>
  </si>
  <si>
    <t>https://www.bls.gov/oes/2020/may/oes151221.htm</t>
  </si>
  <si>
    <t>Benefits</t>
  </si>
  <si>
    <t>47% 
($16.50/ $35.32)</t>
  </si>
  <si>
    <t>https://www.bls.gov/news.release/archives/ecec_03102016.htm</t>
  </si>
  <si>
    <t>50% ($18.34/ $36.95)</t>
  </si>
  <si>
    <t>https://www.bls.gov/news.release/archives/ecec_03172017.htm</t>
  </si>
  <si>
    <t>50% 
($19.11/ $38.90)</t>
  </si>
  <si>
    <t>https://www.bls.gov/news.release/archives/ecec_03202018.htm</t>
  </si>
  <si>
    <t>50% 
($19.48/ $38.92)</t>
  </si>
  <si>
    <t>https://www.bls.gov/news.release/archives/ecec_03192019.htm</t>
  </si>
  <si>
    <t xml:space="preserve"> 51% 
($20.17/ $39.72)</t>
  </si>
  <si>
    <t>https://www.bls.gov/news.release/archives/ecec_03192020.htm</t>
  </si>
  <si>
    <t xml:space="preserve"> 51% 
($20.82/ $40.60)</t>
  </si>
  <si>
    <t>https://www.bls.gov/news.release/archives/ecec_03182021.htm</t>
  </si>
  <si>
    <t>CRI software distribution &amp; campus visits (Reference: Network and Computer Systems Administrators)</t>
  </si>
  <si>
    <t>https://www.bls.gov/oes/2016/may/oes151142.htm</t>
  </si>
  <si>
    <t>https://www.bls.gov/oes/2017/may/oes151142.htm</t>
  </si>
  <si>
    <t>https://www.bls.gov/oes/2018/may/oes151142.htm</t>
  </si>
  <si>
    <t>https://www.bls.gov/oes/2019/may/oes151244.htm</t>
  </si>
  <si>
    <t>https://www.bls.gov/oes/2020/may/oes151244.htm</t>
  </si>
  <si>
    <t>https://www.thinkhdi.com/~/media/HDICorp/Files/Library-Archive/Rumburg_SevenKPIs.pdf</t>
  </si>
  <si>
    <t>Same as PY4</t>
  </si>
  <si>
    <t>https://www.thinkhdi.com/library/supportworld/2017/metric-of-month-service-desk-cost-per-ticket.aspx</t>
  </si>
  <si>
    <t>Same as PY6</t>
  </si>
  <si>
    <t>Live/In person</t>
  </si>
  <si>
    <t>https://www.pryor.com/training-seminars/microsoft-excel-basics/</t>
  </si>
  <si>
    <t>Web based</t>
  </si>
  <si>
    <t>http://www.hrclassroom.com:80/content/lms-training-basic-pricing.aspx</t>
  </si>
  <si>
    <t>Employer Compensation Cost - used for ECSS data (Computer and Information Research Scientist 15-1221)</t>
  </si>
  <si>
    <t>Source</t>
  </si>
  <si>
    <t>Salary $</t>
  </si>
  <si>
    <t>https://www.bls.gov/oes/tables.htm</t>
  </si>
  <si>
    <t>Benefits %</t>
  </si>
  <si>
    <t>https://www.bls.gov/bls/news-release/ecec.htm</t>
  </si>
  <si>
    <t>Benefits $</t>
  </si>
  <si>
    <t>Total $</t>
  </si>
  <si>
    <t>Employer Compensation Cost - used for CRI data (Network and Computer Systems Administrators)</t>
  </si>
  <si>
    <t>Helpdesk Tickets Cost</t>
  </si>
  <si>
    <t>MetricNet</t>
  </si>
  <si>
    <t>BMC</t>
  </si>
  <si>
    <t>https://www.bmc.com/blogs/cost-per-ticket/</t>
  </si>
  <si>
    <t>https://www.thinkhdi.com/library/supportworld/2020/metric-of-month-tickets-prevented</t>
  </si>
  <si>
    <t>Training Cost</t>
  </si>
  <si>
    <t>In person</t>
  </si>
  <si>
    <t>Courses offered in person by Pryor.com: Excel Basics, and Excel Beyond Basics. Both seem to be consistently the same price across years.</t>
  </si>
  <si>
    <t>$79/7h = $11.29 Excel Basics --- $99/7h = $14.14 Beyond Basics</t>
  </si>
  <si>
    <t>2008 - http://web.archive.org/web/20080821115207/http://www.pryor.com/mkt_info/seminars/desc/ey.asp $99 (Beyond Basics)</t>
  </si>
  <si>
    <t>2013 - http://web.archive.org/web/20130522070849/http://www.pryor.com/mkt_info/seminars/desc/Y7.asp?zip=94107 $99 (Beyond Basics)</t>
  </si>
  <si>
    <t>2016 - http://web.archive.org/web/20160318230032/http://www.pryor.com/mkt_info/seminars/desc/y7.asp?zip=94107 $99 (Beyond Basics)</t>
  </si>
  <si>
    <t>2018 - https://web.archive.org/web/20181009102824/https://www.pryor.com/training-seminars/microsoft-excel-basics/ $79 (Excel Basics)</t>
  </si>
  <si>
    <t>2018 - http://web.archive.org/web/20181130055244/http://www.pryor.com/training-seminars/microsoft-excel-beyond-basics/ $99 (Beyond Basics)</t>
  </si>
  <si>
    <t>2020 - https://web.archive.org/web/20201029074613/https://www.pryor.com/training-seminars/microsoft-excel-beyond-basics/ $99 (Beyond Basics)</t>
  </si>
  <si>
    <t>2020 - https://web.archive.org/web/20200929100519/https://www.pryor.com/training-seminars/microsoft-excel-basics/ $79 (Excel Basics)</t>
  </si>
  <si>
    <t>2021 - https://www.pryor.com/training-seminars/microsoft-excel-beyond-basics/ $149 (Beyond Basics)</t>
  </si>
  <si>
    <t>2021 - https://www.pryor.com/training-seminars/microsoft-excel-basics/ $99 (Excel Basics)</t>
  </si>
  <si>
    <t xml:space="preserve">Web </t>
  </si>
  <si>
    <t>HR website that sells units for $9.98. The unit seems to translate to 1h, but the price goes down if your buy a bigger package with more units.</t>
  </si>
  <si>
    <t>2014 - https://web.archive.org/web/20140127162853/http://www.hrclassroom.com:80/content/lms-training-basic-pricing.aspx</t>
  </si>
  <si>
    <t>2015 - https://web.archive.org/web/20150218063400/http://www.hrclassroom.com:80/content/lms-training-basic-pricing.aspx</t>
  </si>
  <si>
    <t>2020 - http://www.hrclassroom.com:80/content/lms-training-basic-pricing.aspx</t>
  </si>
  <si>
    <t>2021 - http://www.hrclassroom.com:80/content/lms-training-basic-pricing.aspx</t>
  </si>
  <si>
    <t>Response Rate</t>
  </si>
  <si>
    <t>XSEDE Population</t>
  </si>
  <si>
    <t>Service Providers</t>
  </si>
  <si>
    <t xml:space="preserve">L1 - 60% (3/5)
L2 - 100% (5/5)
L3 - 71% (5/7) </t>
  </si>
  <si>
    <t>L1 - 80% (4/5)
L2 - 100% (5/5)
L3 - 100% (7/7)</t>
  </si>
  <si>
    <t>L1 - 100% (4/4)
L2 - 25% (2/8)
L3 - 62% (13/21)</t>
  </si>
  <si>
    <t>L1 -100% (4/4)
L2 - 89% (8/9)
L3 - 56% (13/23)</t>
  </si>
  <si>
    <t>L1 – 100% (4/4)
L2 – 75% (6/8)
L3 – 68% (17/25)</t>
  </si>
  <si>
    <t>L1 – 100% (4/4)
L2 – 100% (7/7)
L3 – 62% (16/26)</t>
  </si>
  <si>
    <t>ECSS Projects</t>
  </si>
  <si>
    <t>18% (12/65)</t>
  </si>
  <si>
    <t>41% (24/59)</t>
  </si>
  <si>
    <t>69% (33/48)</t>
  </si>
  <si>
    <t>53% (25/47)</t>
  </si>
  <si>
    <t>42% (20/47)</t>
  </si>
  <si>
    <t>43% (23/54)</t>
  </si>
  <si>
    <t>XCRI Campus Visits</t>
  </si>
  <si>
    <t>100% (1/1)</t>
  </si>
  <si>
    <t>66% (2/3)</t>
  </si>
  <si>
    <t>100% (2/2)</t>
  </si>
  <si>
    <t>50% (1/2)</t>
  </si>
  <si>
    <t>Towns, J. et al. NSF Award #1548562. $110,000,000. 8/19/2016-8/31/2021. XSEDE 2.0: Integrating, Enabling and Enhancing National Cyberinfrastructure with Expanding Community Involvement</t>
  </si>
  <si>
    <t xml:space="preserve">Towns, J. et al. NSF Award #1053575. $125,628,751. 6/21/2011-7/23/2016. XSEDE: eXtreme Science and Engineering Discovery Environment. </t>
  </si>
  <si>
    <t>https://www.nsf.gov/awardsearch/showAward?AWD_ID=1053575</t>
  </si>
  <si>
    <t>https://www.nsf.gov/awardsearch/showAward?AWD_ID=1548562</t>
  </si>
  <si>
    <t>*Further explanation on Tabs 13 and 14</t>
  </si>
  <si>
    <t>https://financesonline.com/help-desk-statistics-analysis-of-trends-data-and-market-share/#:~:text=The%20cost%20of%20manually%20handling%20a%20help%20desk</t>
  </si>
  <si>
    <t>Dataset - XSEDE Return on Investment Data and Analysis - July 2014 to August 2020</t>
  </si>
  <si>
    <t>Dataset - XSEDE Return on Investment Data and Analysis - July 2014 to August 2020. Bloomington, IN: Indiana University. https://hdl.handle.net/2022/27620</t>
  </si>
  <si>
    <t>Education program. For PY4-9 number of student-hours (or “viewer-hours) of:</t>
  </si>
  <si>
    <t>Does not include: 1) walk-ins 2) events through Moodle 3) events not scheduled on the course calendar, e.g. ECSS symposiums 4) Events specific to track 1 resources</t>
  </si>
  <si>
    <t>This number is pulled only from live events offered and registered at the XUP course listing.  Live events include the HPC Monthly Workshop series, that are multicast.</t>
  </si>
  <si>
    <t>Note 1: async peak in PY5, with bleed over to PY4 and PY6, largely due to Berkeley courses that were offered via CVW at that time, and have since moved to Moodle.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</si>
</sst>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_([$$-409]* #,##0.00_);_([$$-409]* \(#,##0.00\);_([$$-409]* &quot;-&quot;??_);_(@_)"/>
    <numFmt numFmtId="167" formatCode="_(* #,##0_);_(* \(#,##0\);_(* &quot;-&quot;??_);_(@_)"/>
    <numFmt numFmtId="168" formatCode="&quot;$&quot;#,##0.00"/>
    <numFmt numFmtId="169" formatCode="_([$$-409]* #,##0_);_([$$-409]* \(#,##0\);_([$$-409]* &quot;-&quot;_);_(@_)"/>
  </numFmts>
  <fonts count="46">
    <font>
      <sz val="11"/>
      <color theme="1"/>
      <name val="Calibri"/>
      <scheme val="minor"/>
    </font>
    <font>
      <sz val="12"/>
      <color theme="1"/>
      <name val="Calibri"/>
    </font>
    <font>
      <b/>
      <sz val="12"/>
      <color theme="1"/>
      <name val="Calibri"/>
    </font>
    <font>
      <sz val="11"/>
      <color theme="1"/>
      <name val="Calibri"/>
    </font>
    <font>
      <sz val="10"/>
      <color theme="1"/>
      <name val="Calibri"/>
    </font>
    <font>
      <sz val="10"/>
      <color rgb="FF000000"/>
      <name val="Calibri"/>
    </font>
    <font>
      <b/>
      <sz val="10"/>
      <color theme="1"/>
      <name val="Calibri"/>
    </font>
    <font>
      <sz val="11"/>
      <color theme="1"/>
      <name val="Arial"/>
    </font>
    <font>
      <b/>
      <sz val="11"/>
      <color rgb="FF000000"/>
      <name val="Calibri"/>
    </font>
    <font>
      <b/>
      <sz val="11"/>
      <color theme="1"/>
      <name val="Calibri"/>
    </font>
    <font>
      <sz val="11"/>
      <color theme="1"/>
      <name val="Calibri"/>
      <scheme val="minor"/>
    </font>
    <font>
      <sz val="11"/>
      <color theme="0"/>
      <name val="Calibri"/>
    </font>
    <font>
      <sz val="11"/>
      <name val="Calibri"/>
    </font>
    <font>
      <i/>
      <sz val="11"/>
      <color theme="1"/>
      <name val="Calibri"/>
    </font>
    <font>
      <sz val="10"/>
      <color theme="0"/>
      <name val="Calibri"/>
    </font>
    <font>
      <i/>
      <sz val="10"/>
      <color theme="1"/>
      <name val="Calibri"/>
    </font>
    <font>
      <i/>
      <sz val="8"/>
      <color theme="1"/>
      <name val="Calibri"/>
    </font>
    <font>
      <sz val="11"/>
      <color rgb="FF000000"/>
      <name val="Arial"/>
    </font>
    <font>
      <i/>
      <sz val="11"/>
      <color theme="1"/>
      <name val="Arial"/>
    </font>
    <font>
      <sz val="11"/>
      <color rgb="FF172B4D"/>
      <name val="Calibri"/>
    </font>
    <font>
      <sz val="10"/>
      <color rgb="FF000000"/>
      <name val="Arial"/>
    </font>
    <font>
      <sz val="11"/>
      <color rgb="FF000000"/>
      <name val="Calibri"/>
    </font>
    <font>
      <b/>
      <sz val="11"/>
      <color rgb="FF000000"/>
      <name val="Arial"/>
    </font>
    <font>
      <sz val="10"/>
      <color theme="1"/>
      <name val="Arial"/>
    </font>
    <font>
      <sz val="11"/>
      <color rgb="FF980000"/>
      <name val="Arial"/>
    </font>
    <font>
      <b/>
      <sz val="14"/>
      <color theme="1"/>
      <name val="Arial"/>
    </font>
    <font>
      <b/>
      <sz val="10"/>
      <color rgb="FF000000"/>
      <name val="Calibri"/>
    </font>
    <font>
      <u/>
      <sz val="11"/>
      <color theme="10"/>
      <name val="Calibri"/>
    </font>
    <font>
      <u/>
      <sz val="11"/>
      <color theme="10"/>
      <name val="Calibri"/>
    </font>
    <font>
      <u/>
      <sz val="11"/>
      <color rgb="FF1155CC"/>
      <name val="Calibri"/>
    </font>
    <font>
      <u/>
      <sz val="11"/>
      <color rgb="FF0563C1"/>
      <name val="Calibri"/>
    </font>
    <font>
      <u/>
      <sz val="11"/>
      <color theme="10"/>
      <name val="Calibri"/>
    </font>
    <font>
      <u/>
      <sz val="11"/>
      <color rgb="FF0563C1"/>
      <name val="Calibri"/>
    </font>
    <font>
      <u/>
      <sz val="11"/>
      <color rgb="FF0563C1"/>
      <name val="Calibri"/>
    </font>
    <font>
      <u/>
      <sz val="11"/>
      <color rgb="FF0563C1"/>
      <name val="Calibri"/>
    </font>
    <font>
      <u/>
      <sz val="11"/>
      <color theme="10"/>
      <name val="Calibri"/>
    </font>
    <font>
      <u/>
      <sz val="11"/>
      <color theme="10"/>
      <name val="Calibri"/>
    </font>
    <font>
      <u/>
      <sz val="11"/>
      <color theme="10"/>
      <name val="Calibri"/>
    </font>
    <font>
      <u/>
      <sz val="11"/>
      <color theme="10"/>
      <name val="Calibri"/>
    </font>
    <font>
      <sz val="10"/>
      <color rgb="FFFF0000"/>
      <name val="Calibri"/>
    </font>
    <font>
      <u/>
      <sz val="11"/>
      <color theme="10"/>
      <name val="Calibri"/>
      <scheme val="minor"/>
    </font>
    <font>
      <sz val="9"/>
      <color theme="1"/>
      <name val="Calibri"/>
      <family val="2"/>
    </font>
    <font>
      <sz val="9"/>
      <color theme="1"/>
      <name val="Calibri"/>
      <family val="2"/>
      <scheme val="minor"/>
    </font>
    <font>
      <sz val="9"/>
      <color rgb="FF000000"/>
      <name val="Calibri"/>
      <family val="2"/>
    </font>
    <font>
      <sz val="12"/>
      <color theme="1"/>
      <name val="Calibri"/>
      <family val="2"/>
    </font>
    <font>
      <sz val="10"/>
      <color theme="1"/>
      <name val="Calibri"/>
      <family val="2"/>
    </font>
  </fonts>
  <fills count="10">
    <fill>
      <patternFill patternType="none"/>
    </fill>
    <fill>
      <patternFill patternType="gray125"/>
    </fill>
    <fill>
      <patternFill patternType="solid">
        <fgColor rgb="FFFFFFFF"/>
        <bgColor rgb="FFFFFFFF"/>
      </patternFill>
    </fill>
    <fill>
      <patternFill patternType="solid">
        <fgColor theme="4"/>
        <bgColor theme="4"/>
      </patternFill>
    </fill>
    <fill>
      <patternFill patternType="solid">
        <fgColor rgb="FF8EAADB"/>
        <bgColor rgb="FF8EAADB"/>
      </patternFill>
    </fill>
    <fill>
      <patternFill patternType="solid">
        <fgColor theme="0"/>
        <bgColor theme="0"/>
      </patternFill>
    </fill>
    <fill>
      <patternFill patternType="solid">
        <fgColor rgb="FF385623"/>
        <bgColor rgb="FF385623"/>
      </patternFill>
    </fill>
    <fill>
      <patternFill patternType="solid">
        <fgColor rgb="FF548135"/>
        <bgColor rgb="FF548135"/>
      </patternFill>
    </fill>
    <fill>
      <patternFill patternType="solid">
        <fgColor rgb="FFA8D08D"/>
        <bgColor rgb="FFA8D08D"/>
      </patternFill>
    </fill>
    <fill>
      <patternFill patternType="solid">
        <fgColor rgb="FFE2EFD9"/>
        <bgColor rgb="FFE2EFD9"/>
      </patternFill>
    </fill>
  </fills>
  <borders count="69">
    <border>
      <left/>
      <right/>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medium">
        <color rgb="FF000000"/>
      </right>
      <top/>
      <bottom/>
      <diagonal/>
    </border>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medium">
        <color rgb="FFCCCCCC"/>
      </left>
      <right style="medium">
        <color rgb="FFCCCCCC"/>
      </right>
      <top style="medium">
        <color rgb="FFCCCCCC"/>
      </top>
      <bottom style="medium">
        <color rgb="FFCCCCCC"/>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ck">
        <color rgb="FF000000"/>
      </bottom>
      <diagonal/>
    </border>
    <border>
      <left style="medium">
        <color rgb="FF000000"/>
      </left>
      <right/>
      <top style="thick">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CCCCCC"/>
      </left>
      <right style="medium">
        <color rgb="FFCCCCCC"/>
      </right>
      <top/>
      <bottom style="medium">
        <color rgb="FFCCCCCC"/>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0" fillId="0" borderId="0" applyNumberFormat="0" applyFill="0" applyBorder="0" applyAlignment="0" applyProtection="0"/>
  </cellStyleXfs>
  <cellXfs count="334">
    <xf numFmtId="0" fontId="0" fillId="0" borderId="0" xfId="0" applyFont="1" applyAlignment="1"/>
    <xf numFmtId="0" fontId="2" fillId="0" borderId="0" xfId="0" applyFont="1"/>
    <xf numFmtId="0" fontId="1" fillId="0" borderId="0" xfId="0" applyFont="1"/>
    <xf numFmtId="0" fontId="3" fillId="0" borderId="0" xfId="0" applyFont="1"/>
    <xf numFmtId="0" fontId="4" fillId="0" borderId="0" xfId="0" applyFont="1"/>
    <xf numFmtId="0" fontId="6" fillId="0" borderId="1" xfId="0" applyFont="1" applyBorder="1" applyAlignment="1">
      <alignment horizontal="center" vertical="top" wrapText="1"/>
    </xf>
    <xf numFmtId="0" fontId="7" fillId="0" borderId="0" xfId="0" applyFont="1" applyAlignment="1">
      <alignment horizontal="center" vertical="top" wrapText="1"/>
    </xf>
    <xf numFmtId="0" fontId="4" fillId="0" borderId="1" xfId="0" applyFont="1" applyBorder="1" applyAlignment="1">
      <alignment horizontal="center"/>
    </xf>
    <xf numFmtId="14" fontId="4" fillId="0" borderId="1" xfId="0" applyNumberFormat="1" applyFont="1" applyBorder="1"/>
    <xf numFmtId="14" fontId="5" fillId="2" borderId="1" xfId="0" applyNumberFormat="1" applyFont="1" applyFill="1" applyBorder="1"/>
    <xf numFmtId="14" fontId="4" fillId="0" borderId="1" xfId="0" applyNumberFormat="1" applyFont="1" applyBorder="1" applyAlignment="1">
      <alignment horizontal="right" vertical="top"/>
    </xf>
    <xf numFmtId="0" fontId="4" fillId="0" borderId="0" xfId="0" applyFont="1" applyAlignment="1">
      <alignment horizontal="center"/>
    </xf>
    <xf numFmtId="14" fontId="4" fillId="0" borderId="0" xfId="0" applyNumberFormat="1" applyFont="1"/>
    <xf numFmtId="0" fontId="8" fillId="0" borderId="0" xfId="0" applyFont="1"/>
    <xf numFmtId="0" fontId="9" fillId="0" borderId="0" xfId="0" applyFont="1"/>
    <xf numFmtId="0" fontId="10" fillId="0" borderId="0" xfId="0" applyFont="1"/>
    <xf numFmtId="0" fontId="10" fillId="0" borderId="0" xfId="0" applyFont="1" applyAlignment="1"/>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8" fillId="0" borderId="0" xfId="0" applyFont="1" applyAlignment="1">
      <alignment horizontal="center" vertical="center" wrapText="1"/>
    </xf>
    <xf numFmtId="0" fontId="3" fillId="0" borderId="9" xfId="0" applyFont="1" applyBorder="1" applyAlignment="1">
      <alignment wrapText="1"/>
    </xf>
    <xf numFmtId="164" fontId="3" fillId="0" borderId="10" xfId="0" applyNumberFormat="1" applyFont="1" applyBorder="1" applyAlignment="1">
      <alignment horizontal="right" wrapText="1"/>
    </xf>
    <xf numFmtId="164" fontId="3" fillId="0" borderId="10" xfId="0" applyNumberFormat="1" applyFont="1" applyBorder="1"/>
    <xf numFmtId="164" fontId="3" fillId="0" borderId="11" xfId="0" applyNumberFormat="1" applyFont="1" applyBorder="1"/>
    <xf numFmtId="164" fontId="3" fillId="0" borderId="12" xfId="0" applyNumberFormat="1" applyFont="1" applyBorder="1"/>
    <xf numFmtId="0" fontId="3" fillId="0" borderId="0" xfId="0" applyFont="1" applyAlignment="1">
      <alignment wrapText="1"/>
    </xf>
    <xf numFmtId="0" fontId="3" fillId="0" borderId="13" xfId="0" applyFont="1" applyBorder="1" applyAlignment="1">
      <alignment wrapText="1"/>
    </xf>
    <xf numFmtId="164" fontId="3" fillId="0" borderId="1" xfId="0" applyNumberFormat="1" applyFont="1" applyBorder="1"/>
    <xf numFmtId="164" fontId="3" fillId="0" borderId="14" xfId="0" applyNumberFormat="1" applyFont="1" applyBorder="1"/>
    <xf numFmtId="0" fontId="13" fillId="0" borderId="13" xfId="0" applyFont="1" applyBorder="1"/>
    <xf numFmtId="164" fontId="13" fillId="0" borderId="1" xfId="0" applyNumberFormat="1" applyFont="1" applyBorder="1"/>
    <xf numFmtId="164" fontId="13" fillId="0" borderId="14" xfId="0" applyNumberFormat="1" applyFont="1" applyBorder="1"/>
    <xf numFmtId="0" fontId="13" fillId="0" borderId="0" xfId="0" applyFont="1"/>
    <xf numFmtId="0" fontId="3" fillId="0" borderId="13" xfId="0" applyFont="1" applyBorder="1"/>
    <xf numFmtId="164" fontId="13" fillId="0" borderId="1" xfId="0" applyNumberFormat="1" applyFont="1" applyBorder="1" applyAlignment="1">
      <alignment horizontal="right"/>
    </xf>
    <xf numFmtId="164" fontId="13" fillId="0" borderId="14" xfId="0" applyNumberFormat="1" applyFont="1" applyBorder="1" applyAlignment="1">
      <alignment horizontal="right"/>
    </xf>
    <xf numFmtId="164" fontId="3" fillId="0" borderId="1" xfId="0" applyNumberFormat="1" applyFont="1" applyBorder="1" applyAlignment="1">
      <alignment horizontal="right"/>
    </xf>
    <xf numFmtId="164" fontId="3" fillId="0" borderId="14" xfId="0" applyNumberFormat="1" applyFont="1" applyBorder="1" applyAlignment="1">
      <alignment horizontal="right"/>
    </xf>
    <xf numFmtId="164" fontId="13" fillId="0" borderId="15" xfId="0" applyNumberFormat="1" applyFont="1" applyBorder="1" applyAlignment="1">
      <alignment horizontal="right"/>
    </xf>
    <xf numFmtId="0" fontId="3" fillId="4" borderId="16" xfId="0" applyFont="1" applyFill="1" applyBorder="1"/>
    <xf numFmtId="164" fontId="3" fillId="4" borderId="7" xfId="0" applyNumberFormat="1" applyFont="1" applyFill="1" applyBorder="1"/>
    <xf numFmtId="164" fontId="3" fillId="4" borderId="6" xfId="0" applyNumberFormat="1" applyFont="1" applyFill="1" applyBorder="1"/>
    <xf numFmtId="164" fontId="3" fillId="4" borderId="17" xfId="0" applyNumberFormat="1" applyFont="1" applyFill="1" applyBorder="1"/>
    <xf numFmtId="164" fontId="3" fillId="4" borderId="8" xfId="0" applyNumberFormat="1" applyFont="1" applyFill="1" applyBorder="1"/>
    <xf numFmtId="0" fontId="3" fillId="4" borderId="5" xfId="0" applyFont="1" applyFill="1" applyBorder="1"/>
    <xf numFmtId="164" fontId="3" fillId="4" borderId="18" xfId="0" applyNumberFormat="1" applyFont="1" applyFill="1" applyBorder="1"/>
    <xf numFmtId="0" fontId="11" fillId="3" borderId="19" xfId="0" applyFont="1" applyFill="1" applyBorder="1"/>
    <xf numFmtId="2" fontId="11" fillId="3" borderId="20" xfId="0" applyNumberFormat="1" applyFont="1" applyFill="1" applyBorder="1"/>
    <xf numFmtId="2" fontId="11" fillId="3" borderId="6" xfId="0" applyNumberFormat="1" applyFont="1" applyFill="1" applyBorder="1"/>
    <xf numFmtId="2" fontId="11" fillId="3" borderId="18" xfId="0" applyNumberFormat="1" applyFont="1" applyFill="1" applyBorder="1"/>
    <xf numFmtId="0" fontId="3" fillId="0" borderId="21" xfId="0" applyFont="1" applyBorder="1"/>
    <xf numFmtId="164" fontId="3" fillId="0" borderId="22" xfId="0" applyNumberFormat="1" applyFont="1" applyBorder="1" applyAlignment="1">
      <alignment horizontal="right"/>
    </xf>
    <xf numFmtId="164" fontId="3" fillId="0" borderId="23" xfId="0" applyNumberFormat="1" applyFont="1" applyBorder="1" applyAlignment="1">
      <alignment horizontal="right"/>
    </xf>
    <xf numFmtId="164" fontId="3" fillId="0" borderId="24" xfId="0" applyNumberFormat="1" applyFont="1" applyBorder="1"/>
    <xf numFmtId="165" fontId="3" fillId="0" borderId="0" xfId="0" applyNumberFormat="1" applyFont="1"/>
    <xf numFmtId="0" fontId="3" fillId="5" borderId="25" xfId="0" applyFont="1" applyFill="1" applyBorder="1"/>
    <xf numFmtId="0" fontId="14" fillId="6" borderId="28" xfId="0" applyFont="1" applyFill="1" applyBorder="1" applyAlignment="1">
      <alignment horizontal="center" vertical="center"/>
    </xf>
    <xf numFmtId="0" fontId="14" fillId="6" borderId="29" xfId="0" applyFont="1" applyFill="1" applyBorder="1" applyAlignment="1">
      <alignment horizontal="center" vertical="center"/>
    </xf>
    <xf numFmtId="0" fontId="14" fillId="0" borderId="0" xfId="0" applyFont="1" applyAlignment="1">
      <alignment horizontal="center" vertical="center"/>
    </xf>
    <xf numFmtId="0" fontId="14" fillId="5" borderId="25" xfId="0" applyFont="1" applyFill="1" applyBorder="1" applyAlignment="1">
      <alignment horizontal="center" vertical="center"/>
    </xf>
    <xf numFmtId="0" fontId="14" fillId="7" borderId="13"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36" xfId="0" applyFont="1" applyFill="1" applyBorder="1" applyAlignment="1">
      <alignment horizontal="center" vertical="center" wrapText="1"/>
    </xf>
    <xf numFmtId="0" fontId="14" fillId="0" borderId="0" xfId="0" applyFont="1" applyAlignment="1">
      <alignment horizontal="center" vertical="center" wrapText="1"/>
    </xf>
    <xf numFmtId="0" fontId="14" fillId="7" borderId="37"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4" fillId="8" borderId="1" xfId="0" applyFont="1" applyFill="1" applyBorder="1" applyAlignment="1">
      <alignment vertical="top"/>
    </xf>
    <xf numFmtId="166" fontId="4" fillId="8" borderId="1" xfId="0" applyNumberFormat="1" applyFont="1" applyFill="1" applyBorder="1" applyAlignment="1">
      <alignment horizontal="center" vertical="top"/>
    </xf>
    <xf numFmtId="4" fontId="4" fillId="8" borderId="1" xfId="0" applyNumberFormat="1" applyFont="1" applyFill="1" applyBorder="1" applyAlignment="1">
      <alignment horizontal="center" vertical="top"/>
    </xf>
    <xf numFmtId="166" fontId="4" fillId="8" borderId="36" xfId="0" applyNumberFormat="1" applyFont="1" applyFill="1" applyBorder="1" applyAlignment="1">
      <alignment horizontal="right" vertical="top"/>
    </xf>
    <xf numFmtId="3" fontId="4" fillId="0" borderId="0" xfId="0" applyNumberFormat="1" applyFont="1" applyAlignment="1">
      <alignment horizontal="center" vertical="top"/>
    </xf>
    <xf numFmtId="2" fontId="4" fillId="9" borderId="37" xfId="0" applyNumberFormat="1" applyFont="1" applyFill="1" applyBorder="1" applyAlignment="1">
      <alignment horizontal="center" vertical="top"/>
    </xf>
    <xf numFmtId="0" fontId="4" fillId="9" borderId="1" xfId="0" applyFont="1" applyFill="1" applyBorder="1" applyAlignment="1">
      <alignment horizontal="center" vertical="top"/>
    </xf>
    <xf numFmtId="42" fontId="4" fillId="9" borderId="1" xfId="0" applyNumberFormat="1" applyFont="1" applyFill="1" applyBorder="1" applyAlignment="1">
      <alignment horizontal="center" vertical="top"/>
    </xf>
    <xf numFmtId="42" fontId="4" fillId="8" borderId="1" xfId="0" applyNumberFormat="1" applyFont="1" applyFill="1" applyBorder="1" applyAlignment="1">
      <alignment horizontal="center" vertical="top"/>
    </xf>
    <xf numFmtId="42" fontId="4" fillId="8" borderId="36" xfId="0" applyNumberFormat="1" applyFont="1" applyFill="1" applyBorder="1" applyAlignment="1">
      <alignment horizontal="center" vertical="top"/>
    </xf>
    <xf numFmtId="3" fontId="14" fillId="0" borderId="0" xfId="0" applyNumberFormat="1" applyFont="1" applyAlignment="1">
      <alignment horizontal="center" vertical="top"/>
    </xf>
    <xf numFmtId="2" fontId="5" fillId="9" borderId="37" xfId="0" applyNumberFormat="1" applyFont="1" applyFill="1" applyBorder="1" applyAlignment="1">
      <alignment horizontal="center" vertical="top"/>
    </xf>
    <xf numFmtId="0" fontId="5" fillId="9" borderId="1" xfId="0" applyFont="1" applyFill="1" applyBorder="1" applyAlignment="1">
      <alignment horizontal="center" vertical="top"/>
    </xf>
    <xf numFmtId="42" fontId="5" fillId="9" borderId="1" xfId="0" applyNumberFormat="1" applyFont="1" applyFill="1" applyBorder="1" applyAlignment="1">
      <alignment horizontal="center" vertical="top"/>
    </xf>
    <xf numFmtId="3" fontId="14" fillId="5" borderId="25" xfId="0" applyNumberFormat="1" applyFont="1" applyFill="1" applyBorder="1" applyAlignment="1">
      <alignment horizontal="center" vertical="top"/>
    </xf>
    <xf numFmtId="0" fontId="3" fillId="0" borderId="0" xfId="0" applyFont="1" applyAlignment="1">
      <alignment vertical="top"/>
    </xf>
    <xf numFmtId="0" fontId="4" fillId="8" borderId="1" xfId="0" applyFont="1" applyFill="1" applyBorder="1" applyAlignment="1">
      <alignment vertical="top" wrapText="1"/>
    </xf>
    <xf numFmtId="4" fontId="4" fillId="8" borderId="1" xfId="0" applyNumberFormat="1" applyFont="1" applyFill="1" applyBorder="1" applyAlignment="1">
      <alignment horizontal="center" vertical="top" wrapText="1"/>
    </xf>
    <xf numFmtId="0" fontId="3" fillId="8" borderId="25" xfId="0" applyFont="1" applyFill="1" applyBorder="1" applyAlignment="1">
      <alignment horizontal="center" vertical="top"/>
    </xf>
    <xf numFmtId="166" fontId="4" fillId="8" borderId="36" xfId="0" applyNumberFormat="1" applyFont="1" applyFill="1" applyBorder="1" applyAlignment="1">
      <alignment horizontal="center" vertical="top"/>
    </xf>
    <xf numFmtId="0" fontId="4" fillId="8" borderId="38" xfId="0" applyFont="1" applyFill="1" applyBorder="1" applyAlignment="1">
      <alignment vertical="top" wrapText="1"/>
    </xf>
    <xf numFmtId="166" fontId="4" fillId="8" borderId="38" xfId="0" applyNumberFormat="1" applyFont="1" applyFill="1" applyBorder="1" applyAlignment="1">
      <alignment horizontal="center" vertical="top"/>
    </xf>
    <xf numFmtId="4" fontId="4" fillId="8" borderId="38" xfId="0" applyNumberFormat="1" applyFont="1" applyFill="1" applyBorder="1" applyAlignment="1">
      <alignment horizontal="center" vertical="top" wrapText="1"/>
    </xf>
    <xf numFmtId="166" fontId="4" fillId="8" borderId="39" xfId="0" applyNumberFormat="1" applyFont="1" applyFill="1" applyBorder="1" applyAlignment="1">
      <alignment horizontal="right" vertical="top"/>
    </xf>
    <xf numFmtId="2" fontId="4" fillId="9" borderId="40" xfId="0" applyNumberFormat="1" applyFont="1" applyFill="1" applyBorder="1" applyAlignment="1">
      <alignment horizontal="center" vertical="top"/>
    </xf>
    <xf numFmtId="0" fontId="4" fillId="9" borderId="38" xfId="0" applyFont="1" applyFill="1" applyBorder="1" applyAlignment="1">
      <alignment horizontal="center" vertical="top"/>
    </xf>
    <xf numFmtId="42" fontId="4" fillId="9" borderId="38" xfId="0" applyNumberFormat="1" applyFont="1" applyFill="1" applyBorder="1" applyAlignment="1">
      <alignment horizontal="center" vertical="top"/>
    </xf>
    <xf numFmtId="42" fontId="4" fillId="8" borderId="38" xfId="0" applyNumberFormat="1" applyFont="1" applyFill="1" applyBorder="1" applyAlignment="1">
      <alignment horizontal="center" vertical="top"/>
    </xf>
    <xf numFmtId="42" fontId="4" fillId="8" borderId="39" xfId="0" applyNumberFormat="1" applyFont="1" applyFill="1" applyBorder="1" applyAlignment="1">
      <alignment horizontal="center" vertical="top"/>
    </xf>
    <xf numFmtId="2" fontId="5" fillId="9" borderId="40" xfId="0" applyNumberFormat="1" applyFont="1" applyFill="1" applyBorder="1" applyAlignment="1">
      <alignment horizontal="center" vertical="top"/>
    </xf>
    <xf numFmtId="42" fontId="5" fillId="9" borderId="38" xfId="0" applyNumberFormat="1" applyFont="1" applyFill="1" applyBorder="1" applyAlignment="1">
      <alignment horizontal="center" vertical="top"/>
    </xf>
    <xf numFmtId="0" fontId="3" fillId="0" borderId="1" xfId="0" applyFont="1" applyBorder="1" applyAlignment="1">
      <alignment vertical="top"/>
    </xf>
    <xf numFmtId="0" fontId="4" fillId="0" borderId="1" xfId="0" applyFont="1" applyBorder="1" applyAlignment="1">
      <alignment horizontal="center" vertical="top"/>
    </xf>
    <xf numFmtId="166" fontId="15" fillId="0" borderId="14" xfId="0" applyNumberFormat="1" applyFont="1" applyBorder="1" applyAlignment="1">
      <alignment horizontal="right" vertical="top"/>
    </xf>
    <xf numFmtId="0" fontId="3" fillId="0" borderId="41" xfId="0" applyFont="1" applyBorder="1" applyAlignment="1">
      <alignment vertical="top"/>
    </xf>
    <xf numFmtId="2" fontId="15" fillId="0" borderId="42" xfId="0" applyNumberFormat="1" applyFont="1" applyBorder="1" applyAlignment="1">
      <alignment horizontal="center" vertical="top"/>
    </xf>
    <xf numFmtId="0" fontId="15" fillId="0" borderId="1" xfId="0" applyFont="1" applyBorder="1" applyAlignment="1">
      <alignment horizontal="center" vertical="top"/>
    </xf>
    <xf numFmtId="3" fontId="15" fillId="0" borderId="1" xfId="0" applyNumberFormat="1" applyFont="1" applyBorder="1" applyAlignment="1">
      <alignment horizontal="center" vertical="top"/>
    </xf>
    <xf numFmtId="42" fontId="15" fillId="0" borderId="1" xfId="0" applyNumberFormat="1" applyFont="1" applyBorder="1" applyAlignment="1">
      <alignment horizontal="center" vertical="top"/>
    </xf>
    <xf numFmtId="42" fontId="15" fillId="0" borderId="14" xfId="0" applyNumberFormat="1" applyFont="1" applyBorder="1" applyAlignment="1">
      <alignment horizontal="center" vertical="top"/>
    </xf>
    <xf numFmtId="3" fontId="15" fillId="0" borderId="41" xfId="0" applyNumberFormat="1" applyFont="1" applyBorder="1" applyAlignment="1">
      <alignment horizontal="center" vertical="top"/>
    </xf>
    <xf numFmtId="3" fontId="15" fillId="0" borderId="43" xfId="0" applyNumberFormat="1" applyFont="1" applyBorder="1" applyAlignment="1">
      <alignment horizontal="center" vertical="top"/>
    </xf>
    <xf numFmtId="42" fontId="15" fillId="5" borderId="1" xfId="0" applyNumberFormat="1" applyFont="1" applyFill="1" applyBorder="1" applyAlignment="1">
      <alignment horizontal="center" vertical="top"/>
    </xf>
    <xf numFmtId="0" fontId="16" fillId="0" borderId="44" xfId="0" applyFont="1" applyBorder="1" applyAlignment="1">
      <alignment vertical="top"/>
    </xf>
    <xf numFmtId="0" fontId="16" fillId="0" borderId="0" xfId="0" applyFont="1"/>
    <xf numFmtId="0" fontId="17" fillId="0" borderId="0" xfId="0" applyFont="1" applyAlignment="1">
      <alignment vertical="top"/>
    </xf>
    <xf numFmtId="0" fontId="18" fillId="0" borderId="0" xfId="0" applyFont="1"/>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0" borderId="0" xfId="0" applyFont="1" applyAlignment="1">
      <alignment horizontal="center"/>
    </xf>
    <xf numFmtId="0" fontId="14" fillId="5" borderId="25" xfId="0" applyFont="1" applyFill="1" applyBorder="1" applyAlignment="1">
      <alignment horizontal="center"/>
    </xf>
    <xf numFmtId="0" fontId="4" fillId="8" borderId="13" xfId="0" applyFont="1" applyFill="1" applyBorder="1" applyAlignment="1">
      <alignment vertical="top"/>
    </xf>
    <xf numFmtId="44" fontId="4" fillId="8" borderId="1" xfId="0" applyNumberFormat="1" applyFont="1" applyFill="1" applyBorder="1" applyAlignment="1">
      <alignment horizontal="center" vertical="top"/>
    </xf>
    <xf numFmtId="44" fontId="4" fillId="8" borderId="36" xfId="0" applyNumberFormat="1" applyFont="1" applyFill="1" applyBorder="1" applyAlignment="1">
      <alignment horizontal="center" vertical="top"/>
    </xf>
    <xf numFmtId="0" fontId="4" fillId="8" borderId="13" xfId="0" applyFont="1" applyFill="1" applyBorder="1" applyAlignment="1">
      <alignment vertical="top" wrapText="1"/>
    </xf>
    <xf numFmtId="44" fontId="4" fillId="8" borderId="36" xfId="0" applyNumberFormat="1" applyFont="1" applyFill="1" applyBorder="1" applyAlignment="1">
      <alignment horizontal="center" vertical="top" wrapText="1"/>
    </xf>
    <xf numFmtId="3" fontId="4" fillId="0" borderId="0" xfId="0" applyNumberFormat="1" applyFont="1" applyAlignment="1">
      <alignment horizontal="center" vertical="top" wrapText="1"/>
    </xf>
    <xf numFmtId="0" fontId="4" fillId="8" borderId="46" xfId="0" applyFont="1" applyFill="1" applyBorder="1" applyAlignment="1">
      <alignment vertical="top" wrapText="1"/>
    </xf>
    <xf numFmtId="44" fontId="4" fillId="8" borderId="38" xfId="0" applyNumberFormat="1" applyFont="1" applyFill="1" applyBorder="1" applyAlignment="1">
      <alignment horizontal="center" vertical="top"/>
    </xf>
    <xf numFmtId="44" fontId="4" fillId="8" borderId="39" xfId="0" applyNumberFormat="1" applyFont="1" applyFill="1" applyBorder="1" applyAlignment="1">
      <alignment horizontal="center" vertical="top" wrapText="1"/>
    </xf>
    <xf numFmtId="0" fontId="5" fillId="9" borderId="38" xfId="0" applyFont="1" applyFill="1" applyBorder="1" applyAlignment="1">
      <alignment horizontal="center" vertical="top"/>
    </xf>
    <xf numFmtId="4" fontId="15" fillId="0" borderId="1" xfId="0" applyNumberFormat="1" applyFont="1" applyBorder="1" applyAlignment="1">
      <alignment horizontal="center" vertical="top"/>
    </xf>
    <xf numFmtId="44" fontId="15" fillId="0" borderId="14" xfId="0" applyNumberFormat="1" applyFont="1" applyBorder="1" applyAlignment="1">
      <alignment horizontal="center" vertical="top"/>
    </xf>
    <xf numFmtId="0" fontId="16" fillId="0" borderId="0" xfId="0" applyFont="1" applyAlignment="1">
      <alignment vertical="top"/>
    </xf>
    <xf numFmtId="42" fontId="4" fillId="8" borderId="36" xfId="0" applyNumberFormat="1" applyFont="1" applyFill="1" applyBorder="1" applyAlignment="1">
      <alignment horizontal="center" vertical="top" wrapText="1"/>
    </xf>
    <xf numFmtId="42" fontId="4" fillId="8" borderId="39" xfId="0" applyNumberFormat="1" applyFont="1" applyFill="1" applyBorder="1" applyAlignment="1">
      <alignment horizontal="center" vertical="top" wrapText="1"/>
    </xf>
    <xf numFmtId="3" fontId="15" fillId="0" borderId="0" xfId="0" applyNumberFormat="1" applyFont="1" applyAlignment="1">
      <alignment horizontal="center" vertical="top"/>
    </xf>
    <xf numFmtId="3" fontId="15" fillId="5" borderId="25" xfId="0" applyNumberFormat="1" applyFont="1" applyFill="1" applyBorder="1" applyAlignment="1">
      <alignment horizontal="center" vertical="top"/>
    </xf>
    <xf numFmtId="164" fontId="4" fillId="8" borderId="36" xfId="0" applyNumberFormat="1" applyFont="1" applyFill="1" applyBorder="1" applyAlignment="1">
      <alignment horizontal="center" vertical="top"/>
    </xf>
    <xf numFmtId="164" fontId="4" fillId="8" borderId="39" xfId="0" applyNumberFormat="1" applyFont="1" applyFill="1" applyBorder="1" applyAlignment="1">
      <alignment horizontal="center" vertical="top"/>
    </xf>
    <xf numFmtId="0" fontId="14" fillId="6" borderId="28" xfId="0" applyFont="1" applyFill="1" applyBorder="1" applyAlignment="1">
      <alignment horizontal="center" vertical="top" wrapText="1"/>
    </xf>
    <xf numFmtId="0" fontId="14" fillId="6" borderId="29" xfId="0" applyFont="1" applyFill="1" applyBorder="1" applyAlignment="1">
      <alignment horizontal="center" vertical="top" wrapText="1"/>
    </xf>
    <xf numFmtId="0" fontId="14" fillId="0" borderId="0" xfId="0" applyFont="1" applyAlignment="1">
      <alignment horizontal="center" vertical="top" wrapText="1"/>
    </xf>
    <xf numFmtId="0" fontId="14" fillId="0" borderId="0" xfId="0" applyFont="1" applyAlignment="1">
      <alignment horizontal="center" vertical="top"/>
    </xf>
    <xf numFmtId="0" fontId="14" fillId="5" borderId="25" xfId="0" applyFont="1" applyFill="1" applyBorder="1" applyAlignment="1">
      <alignment horizontal="center" vertical="top"/>
    </xf>
    <xf numFmtId="0" fontId="14" fillId="7" borderId="13" xfId="0" applyFont="1" applyFill="1" applyBorder="1" applyAlignment="1">
      <alignment horizontal="center" vertical="top" wrapText="1"/>
    </xf>
    <xf numFmtId="0" fontId="14" fillId="7" borderId="1" xfId="0" applyFont="1" applyFill="1" applyBorder="1" applyAlignment="1">
      <alignment horizontal="center" vertical="top" wrapText="1"/>
    </xf>
    <xf numFmtId="0" fontId="14" fillId="7" borderId="36" xfId="0" applyFont="1" applyFill="1" applyBorder="1" applyAlignment="1">
      <alignment horizontal="center" vertical="top" wrapText="1"/>
    </xf>
    <xf numFmtId="0" fontId="14" fillId="7" borderId="37" xfId="0" applyFont="1" applyFill="1" applyBorder="1" applyAlignment="1">
      <alignment horizontal="center" vertical="top" wrapText="1"/>
    </xf>
    <xf numFmtId="0" fontId="14" fillId="5" borderId="25" xfId="0" applyFont="1" applyFill="1" applyBorder="1" applyAlignment="1">
      <alignment horizontal="center" vertical="top" wrapText="1"/>
    </xf>
    <xf numFmtId="8" fontId="4" fillId="8" borderId="36" xfId="0" applyNumberFormat="1" applyFont="1" applyFill="1" applyBorder="1" applyAlignment="1">
      <alignment horizontal="right" vertical="top" wrapText="1"/>
    </xf>
    <xf numFmtId="8" fontId="4" fillId="8" borderId="36" xfId="0" applyNumberFormat="1" applyFont="1" applyFill="1" applyBorder="1" applyAlignment="1">
      <alignment horizontal="center" vertical="top" wrapText="1"/>
    </xf>
    <xf numFmtId="8" fontId="4" fillId="8" borderId="36" xfId="0" applyNumberFormat="1" applyFont="1" applyFill="1" applyBorder="1" applyAlignment="1">
      <alignment horizontal="center" vertical="top"/>
    </xf>
    <xf numFmtId="8" fontId="4" fillId="8" borderId="39" xfId="0" applyNumberFormat="1" applyFont="1" applyFill="1" applyBorder="1" applyAlignment="1">
      <alignment horizontal="center" vertical="top" wrapText="1"/>
    </xf>
    <xf numFmtId="0" fontId="3" fillId="0" borderId="0" xfId="0" applyFont="1" applyAlignment="1">
      <alignment horizontal="left" vertical="top"/>
    </xf>
    <xf numFmtId="0" fontId="3" fillId="0" borderId="0" xfId="0" applyFont="1" applyAlignment="1">
      <alignment horizontal="left" vertical="top" wrapText="1"/>
    </xf>
    <xf numFmtId="14" fontId="3" fillId="0" borderId="0" xfId="0" applyNumberFormat="1" applyFont="1"/>
    <xf numFmtId="2" fontId="3" fillId="0" borderId="0" xfId="0" applyNumberFormat="1" applyFont="1"/>
    <xf numFmtId="164" fontId="3" fillId="0" borderId="0" xfId="0" applyNumberFormat="1" applyFont="1"/>
    <xf numFmtId="0" fontId="3" fillId="0" borderId="0" xfId="0" applyFont="1" applyAlignment="1">
      <alignment horizontal="right"/>
    </xf>
    <xf numFmtId="0" fontId="19" fillId="0" borderId="47" xfId="0" applyFont="1" applyBorder="1" applyAlignment="1">
      <alignment vertical="center"/>
    </xf>
    <xf numFmtId="0" fontId="4" fillId="0" borderId="47" xfId="0" applyFont="1" applyBorder="1" applyAlignment="1">
      <alignment wrapText="1"/>
    </xf>
    <xf numFmtId="0" fontId="19" fillId="0" borderId="0" xfId="0" applyFont="1" applyAlignment="1">
      <alignment vertical="center"/>
    </xf>
    <xf numFmtId="0" fontId="20" fillId="0" borderId="0" xfId="0" applyFont="1"/>
    <xf numFmtId="0" fontId="21" fillId="0" borderId="0" xfId="0" applyFont="1"/>
    <xf numFmtId="0" fontId="3" fillId="0" borderId="0" xfId="0" applyFont="1" applyAlignment="1">
      <alignment horizontal="right" vertical="top"/>
    </xf>
    <xf numFmtId="0" fontId="22" fillId="0" borderId="0" xfId="0" applyFont="1" applyAlignment="1">
      <alignment horizontal="left" vertical="top"/>
    </xf>
    <xf numFmtId="0" fontId="23" fillId="0" borderId="0" xfId="0" applyFont="1" applyAlignment="1">
      <alignment horizontal="left" vertical="top"/>
    </xf>
    <xf numFmtId="0" fontId="24" fillId="0" borderId="0" xfId="0" applyFont="1" applyAlignment="1">
      <alignment horizontal="left" vertical="top"/>
    </xf>
    <xf numFmtId="0" fontId="7" fillId="0" borderId="0" xfId="0" applyFont="1" applyAlignment="1">
      <alignment horizontal="left" vertical="top"/>
    </xf>
    <xf numFmtId="0" fontId="17"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167" fontId="3" fillId="0" borderId="0" xfId="0" applyNumberFormat="1" applyFont="1"/>
    <xf numFmtId="3" fontId="3" fillId="0" borderId="0" xfId="0" applyNumberFormat="1" applyFont="1"/>
    <xf numFmtId="8" fontId="3" fillId="0" borderId="0" xfId="0" applyNumberFormat="1" applyFont="1"/>
    <xf numFmtId="6" fontId="3" fillId="0" borderId="0" xfId="0" applyNumberFormat="1" applyFont="1"/>
    <xf numFmtId="6" fontId="3" fillId="0" borderId="0" xfId="0" applyNumberFormat="1" applyFont="1" applyAlignment="1">
      <alignment vertical="top"/>
    </xf>
    <xf numFmtId="0" fontId="3" fillId="0" borderId="0" xfId="0" applyFont="1" applyAlignment="1">
      <alignment horizontal="left" vertical="center"/>
    </xf>
    <xf numFmtId="168" fontId="3" fillId="0" borderId="0" xfId="0" applyNumberFormat="1" applyFont="1"/>
    <xf numFmtId="0" fontId="9" fillId="0" borderId="48" xfId="0" applyFont="1" applyBorder="1"/>
    <xf numFmtId="0" fontId="9" fillId="0" borderId="49" xfId="0" applyFont="1" applyBorder="1"/>
    <xf numFmtId="0" fontId="3" fillId="0" borderId="49" xfId="0" applyFont="1" applyBorder="1"/>
    <xf numFmtId="0" fontId="3" fillId="0" borderId="50" xfId="0" applyFont="1" applyBorder="1"/>
    <xf numFmtId="0" fontId="3" fillId="0" borderId="51" xfId="0" applyFont="1" applyBorder="1"/>
    <xf numFmtId="0" fontId="3" fillId="0" borderId="24" xfId="0" applyFont="1" applyBorder="1"/>
    <xf numFmtId="0" fontId="3" fillId="0" borderId="51" xfId="0" applyFont="1" applyBorder="1" applyAlignment="1">
      <alignment horizontal="right"/>
    </xf>
    <xf numFmtId="0" fontId="3" fillId="0" borderId="24" xfId="0" applyFont="1" applyBorder="1" applyAlignment="1">
      <alignment horizontal="right"/>
    </xf>
    <xf numFmtId="0" fontId="3" fillId="0" borderId="52" xfId="0" applyFont="1" applyBorder="1"/>
    <xf numFmtId="164" fontId="3" fillId="0" borderId="53" xfId="0" applyNumberFormat="1" applyFont="1" applyBorder="1"/>
    <xf numFmtId="0" fontId="9" fillId="0" borderId="51" xfId="0" applyFont="1" applyBorder="1"/>
    <xf numFmtId="0" fontId="3" fillId="0" borderId="51" xfId="0" applyFont="1" applyBorder="1" applyAlignment="1">
      <alignment horizontal="left"/>
    </xf>
    <xf numFmtId="3" fontId="3" fillId="0" borderId="24" xfId="0" applyNumberFormat="1" applyFont="1" applyBorder="1"/>
    <xf numFmtId="1" fontId="3" fillId="0" borderId="24" xfId="0" applyNumberFormat="1" applyFont="1" applyBorder="1"/>
    <xf numFmtId="0" fontId="9" fillId="0" borderId="24" xfId="0" applyFont="1" applyBorder="1" applyAlignment="1">
      <alignment horizontal="right"/>
    </xf>
    <xf numFmtId="169" fontId="3" fillId="0" borderId="51" xfId="0" applyNumberFormat="1" applyFont="1" applyBorder="1"/>
    <xf numFmtId="169" fontId="3" fillId="0" borderId="0" xfId="0" applyNumberFormat="1" applyFont="1"/>
    <xf numFmtId="169" fontId="3" fillId="0" borderId="24" xfId="0" applyNumberFormat="1" applyFont="1" applyBorder="1"/>
    <xf numFmtId="169" fontId="3" fillId="0" borderId="52" xfId="0" applyNumberFormat="1" applyFont="1" applyBorder="1"/>
    <xf numFmtId="169" fontId="3" fillId="0" borderId="53" xfId="0" applyNumberFormat="1" applyFont="1" applyBorder="1"/>
    <xf numFmtId="6" fontId="3" fillId="0" borderId="53" xfId="0" applyNumberFormat="1" applyFont="1" applyBorder="1"/>
    <xf numFmtId="0" fontId="3" fillId="0" borderId="53" xfId="0" applyFont="1" applyBorder="1"/>
    <xf numFmtId="169" fontId="3" fillId="0" borderId="54" xfId="0" applyNumberFormat="1" applyFont="1" applyBorder="1"/>
    <xf numFmtId="0" fontId="9" fillId="0" borderId="0" xfId="0" applyFont="1" applyAlignment="1">
      <alignment horizontal="right"/>
    </xf>
    <xf numFmtId="0" fontId="3" fillId="0" borderId="54" xfId="0" applyFont="1" applyBorder="1"/>
    <xf numFmtId="0" fontId="3" fillId="0" borderId="0" xfId="0" applyFont="1" applyAlignment="1">
      <alignment horizontal="center" vertical="top"/>
    </xf>
    <xf numFmtId="0" fontId="4" fillId="0" borderId="0" xfId="0" applyFont="1" applyAlignment="1">
      <alignment vertical="top"/>
    </xf>
    <xf numFmtId="0" fontId="26" fillId="0" borderId="55" xfId="0" applyFont="1" applyBorder="1" applyAlignment="1">
      <alignment horizontal="left" vertical="top" wrapText="1"/>
    </xf>
    <xf numFmtId="2"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56" xfId="0" applyFont="1" applyBorder="1" applyAlignment="1">
      <alignment horizontal="left" vertical="top" wrapText="1"/>
    </xf>
    <xf numFmtId="2" fontId="4" fillId="0" borderId="1" xfId="0" applyNumberFormat="1" applyFont="1" applyBorder="1" applyAlignment="1">
      <alignment horizontal="right" vertical="top"/>
    </xf>
    <xf numFmtId="168" fontId="4" fillId="0" borderId="1" xfId="0" applyNumberFormat="1" applyFont="1" applyBorder="1" applyAlignment="1">
      <alignment vertical="top"/>
    </xf>
    <xf numFmtId="168" fontId="5" fillId="0" borderId="1" xfId="0" applyNumberFormat="1" applyFont="1" applyBorder="1" applyAlignment="1">
      <alignment horizontal="right" vertical="top"/>
    </xf>
    <xf numFmtId="0" fontId="5" fillId="0" borderId="57" xfId="0" applyFont="1" applyBorder="1" applyAlignment="1">
      <alignment horizontal="left" vertical="top" wrapText="1"/>
    </xf>
    <xf numFmtId="2" fontId="5" fillId="0" borderId="1" xfId="0" applyNumberFormat="1" applyFont="1" applyBorder="1" applyAlignment="1">
      <alignment horizontal="right" vertical="top" wrapText="1"/>
    </xf>
    <xf numFmtId="0" fontId="4" fillId="0" borderId="1" xfId="0" applyFont="1" applyBorder="1" applyAlignment="1">
      <alignment vertical="top"/>
    </xf>
    <xf numFmtId="44" fontId="4" fillId="0" borderId="1" xfId="0" applyNumberFormat="1" applyFont="1" applyBorder="1" applyAlignment="1">
      <alignment vertical="top"/>
    </xf>
    <xf numFmtId="2" fontId="5" fillId="0" borderId="10" xfId="0" applyNumberFormat="1" applyFont="1" applyBorder="1" applyAlignment="1">
      <alignment horizontal="right" vertical="top" wrapText="1"/>
    </xf>
    <xf numFmtId="168" fontId="5" fillId="0" borderId="10" xfId="0" applyNumberFormat="1" applyFont="1" applyBorder="1" applyAlignment="1">
      <alignment horizontal="right" vertical="top"/>
    </xf>
    <xf numFmtId="0" fontId="5" fillId="0" borderId="58" xfId="0" applyFont="1" applyBorder="1" applyAlignment="1">
      <alignment horizontal="left" vertical="top" wrapText="1"/>
    </xf>
    <xf numFmtId="0" fontId="4" fillId="0" borderId="0" xfId="0" applyFont="1" applyAlignment="1">
      <alignment horizontal="right" vertical="top"/>
    </xf>
    <xf numFmtId="2" fontId="4" fillId="0" borderId="0" xfId="0" applyNumberFormat="1" applyFont="1" applyAlignment="1">
      <alignment horizontal="right" vertical="top"/>
    </xf>
    <xf numFmtId="168" fontId="4" fillId="0" borderId="0" xfId="0" applyNumberFormat="1" applyFont="1" applyAlignment="1">
      <alignment vertical="top"/>
    </xf>
    <xf numFmtId="0" fontId="26" fillId="0" borderId="55" xfId="0" applyFont="1" applyBorder="1" applyAlignment="1">
      <alignment horizontal="left" wrapText="1"/>
    </xf>
    <xf numFmtId="2" fontId="5" fillId="0" borderId="1" xfId="0" applyNumberFormat="1" applyFont="1" applyBorder="1" applyAlignment="1">
      <alignment horizontal="center" wrapText="1"/>
    </xf>
    <xf numFmtId="0" fontId="5" fillId="0" borderId="1" xfId="0" applyFont="1" applyBorder="1" applyAlignment="1">
      <alignment horizontal="center" wrapText="1"/>
    </xf>
    <xf numFmtId="0" fontId="5" fillId="0" borderId="56" xfId="0" applyFont="1" applyBorder="1" applyAlignment="1">
      <alignment horizontal="left" wrapText="1"/>
    </xf>
    <xf numFmtId="2" fontId="4" fillId="0" borderId="1" xfId="0" applyNumberFormat="1" applyFont="1" applyBorder="1" applyAlignment="1">
      <alignment horizontal="right"/>
    </xf>
    <xf numFmtId="168" fontId="4" fillId="0" borderId="1" xfId="0" applyNumberFormat="1" applyFont="1" applyBorder="1"/>
    <xf numFmtId="168" fontId="5" fillId="0" borderId="1" xfId="0" applyNumberFormat="1" applyFont="1" applyBorder="1" applyAlignment="1">
      <alignment horizontal="right" vertical="center"/>
    </xf>
    <xf numFmtId="0" fontId="5" fillId="0" borderId="57" xfId="0" applyFont="1" applyBorder="1" applyAlignment="1">
      <alignment horizontal="left" wrapText="1"/>
    </xf>
    <xf numFmtId="2" fontId="5" fillId="0" borderId="1" xfId="0" applyNumberFormat="1" applyFont="1" applyBorder="1" applyAlignment="1">
      <alignment horizontal="right" wrapText="1"/>
    </xf>
    <xf numFmtId="0" fontId="5" fillId="0" borderId="58" xfId="0" applyFont="1" applyBorder="1" applyAlignment="1">
      <alignment horizontal="left" wrapText="1"/>
    </xf>
    <xf numFmtId="0" fontId="4" fillId="0" borderId="0" xfId="0" applyFont="1" applyAlignment="1">
      <alignment horizontal="right"/>
    </xf>
    <xf numFmtId="2" fontId="4" fillId="0" borderId="0" xfId="0" applyNumberFormat="1" applyFont="1" applyAlignment="1">
      <alignment horizontal="right"/>
    </xf>
    <xf numFmtId="44" fontId="4" fillId="0" borderId="0" xfId="0" applyNumberFormat="1" applyFont="1" applyAlignment="1">
      <alignment horizontal="right"/>
    </xf>
    <xf numFmtId="168" fontId="4" fillId="0" borderId="0" xfId="0" applyNumberFormat="1" applyFont="1"/>
    <xf numFmtId="0" fontId="4" fillId="0" borderId="0" xfId="0" applyFont="1" applyAlignment="1">
      <alignment vertical="top" wrapText="1"/>
    </xf>
    <xf numFmtId="0" fontId="6" fillId="0" borderId="0" xfId="0" applyFont="1" applyAlignment="1">
      <alignment vertical="top" wrapText="1"/>
    </xf>
    <xf numFmtId="0" fontId="4" fillId="0" borderId="0" xfId="0" applyFont="1" applyAlignment="1">
      <alignment horizontal="center" vertical="top" wrapText="1"/>
    </xf>
    <xf numFmtId="0" fontId="3" fillId="0" borderId="0" xfId="0" applyFont="1" applyAlignment="1">
      <alignment vertical="top" wrapText="1"/>
    </xf>
    <xf numFmtId="0" fontId="4" fillId="0" borderId="59" xfId="0" applyFont="1" applyBorder="1" applyAlignment="1">
      <alignment horizontal="right" vertical="center" wrapText="1"/>
    </xf>
    <xf numFmtId="8" fontId="4" fillId="0" borderId="0" xfId="0" applyNumberFormat="1" applyFont="1"/>
    <xf numFmtId="0" fontId="8" fillId="0" borderId="60" xfId="0" applyFont="1" applyBorder="1" applyAlignment="1">
      <alignment horizontal="center" vertical="top" wrapText="1"/>
    </xf>
    <xf numFmtId="0" fontId="8" fillId="0" borderId="27" xfId="0" applyFont="1" applyBorder="1" applyAlignment="1">
      <alignment horizontal="center" vertical="top" wrapText="1"/>
    </xf>
    <xf numFmtId="0" fontId="8" fillId="0" borderId="28" xfId="0" applyFont="1" applyBorder="1" applyAlignment="1">
      <alignment horizontal="center" vertical="top" wrapText="1"/>
    </xf>
    <xf numFmtId="0" fontId="8" fillId="0" borderId="61" xfId="0" applyFont="1" applyBorder="1" applyAlignment="1">
      <alignment horizontal="center" vertical="top" wrapText="1"/>
    </xf>
    <xf numFmtId="0" fontId="8" fillId="0" borderId="13" xfId="0" applyFont="1" applyBorder="1" applyAlignment="1">
      <alignment horizontal="center" vertical="top" wrapText="1"/>
    </xf>
    <xf numFmtId="0" fontId="8" fillId="0" borderId="42" xfId="0" applyFont="1" applyBorder="1" applyAlignment="1">
      <alignment horizontal="center" vertical="top" wrapText="1"/>
    </xf>
    <xf numFmtId="0" fontId="8" fillId="0" borderId="1" xfId="0" applyFont="1" applyBorder="1" applyAlignment="1">
      <alignment horizontal="center" vertical="top" wrapText="1"/>
    </xf>
    <xf numFmtId="0" fontId="3" fillId="0" borderId="62" xfId="0" applyFont="1" applyBorder="1" applyAlignment="1">
      <alignment vertical="top"/>
    </xf>
    <xf numFmtId="0" fontId="3" fillId="0" borderId="13" xfId="0" applyFont="1" applyBorder="1" applyAlignment="1">
      <alignment vertical="top" wrapText="1"/>
    </xf>
    <xf numFmtId="0" fontId="3" fillId="0" borderId="42" xfId="0" applyFont="1" applyBorder="1" applyAlignment="1">
      <alignment vertical="top" wrapText="1"/>
    </xf>
    <xf numFmtId="164" fontId="3" fillId="0" borderId="1" xfId="0" applyNumberFormat="1" applyFont="1" applyBorder="1" applyAlignment="1">
      <alignment horizontal="left" vertical="top"/>
    </xf>
    <xf numFmtId="164" fontId="3" fillId="0" borderId="1" xfId="0" applyNumberFormat="1" applyFont="1" applyBorder="1" applyAlignment="1">
      <alignment horizontal="right" vertical="top" wrapText="1"/>
    </xf>
    <xf numFmtId="164" fontId="3" fillId="0" borderId="1" xfId="0" applyNumberFormat="1" applyFont="1" applyBorder="1" applyAlignment="1">
      <alignment vertical="top"/>
    </xf>
    <xf numFmtId="164" fontId="3" fillId="0" borderId="42" xfId="0" applyNumberFormat="1" applyFont="1" applyBorder="1" applyAlignment="1">
      <alignment vertical="top"/>
    </xf>
    <xf numFmtId="0" fontId="3" fillId="0" borderId="21" xfId="0" applyFont="1" applyBorder="1" applyAlignment="1">
      <alignment vertical="top" wrapText="1"/>
    </xf>
    <xf numFmtId="0" fontId="3" fillId="0" borderId="63" xfId="0" applyFont="1" applyBorder="1" applyAlignment="1">
      <alignment vertical="top"/>
    </xf>
    <xf numFmtId="164" fontId="27" fillId="0" borderId="22" xfId="0" applyNumberFormat="1" applyFont="1" applyBorder="1" applyAlignment="1">
      <alignment vertical="top" wrapText="1"/>
    </xf>
    <xf numFmtId="164" fontId="3" fillId="0" borderId="22" xfId="0" applyNumberFormat="1" applyFont="1" applyBorder="1" applyAlignment="1">
      <alignment vertical="top"/>
    </xf>
    <xf numFmtId="164" fontId="3" fillId="0" borderId="22" xfId="0" applyNumberFormat="1" applyFont="1" applyBorder="1" applyAlignment="1">
      <alignment vertical="top" wrapText="1"/>
    </xf>
    <xf numFmtId="164" fontId="3" fillId="0" borderId="22" xfId="0" applyNumberFormat="1" applyFont="1" applyBorder="1" applyAlignment="1">
      <alignment horizontal="right" vertical="top"/>
    </xf>
    <xf numFmtId="164" fontId="3" fillId="0" borderId="22" xfId="0" applyNumberFormat="1" applyFont="1" applyBorder="1" applyAlignment="1">
      <alignment horizontal="right" vertical="top" wrapText="1"/>
    </xf>
    <xf numFmtId="0" fontId="28" fillId="0" borderId="22" xfId="0" applyFont="1" applyBorder="1" applyAlignment="1">
      <alignment vertical="top" wrapText="1"/>
    </xf>
    <xf numFmtId="164" fontId="3" fillId="0" borderId="63" xfId="0" applyNumberFormat="1" applyFont="1" applyBorder="1" applyAlignment="1">
      <alignment horizontal="right" vertical="top"/>
    </xf>
    <xf numFmtId="0" fontId="29" fillId="0" borderId="64" xfId="0" applyFont="1" applyBorder="1" applyAlignment="1">
      <alignment vertical="top" wrapText="1"/>
    </xf>
    <xf numFmtId="0" fontId="3" fillId="0" borderId="1" xfId="0" applyFont="1" applyBorder="1" applyAlignment="1">
      <alignment vertical="top" wrapText="1"/>
    </xf>
    <xf numFmtId="0" fontId="30" fillId="0" borderId="62" xfId="0" applyFont="1" applyBorder="1" applyAlignment="1">
      <alignment vertical="top" wrapText="1"/>
    </xf>
    <xf numFmtId="164" fontId="31" fillId="0" borderId="22" xfId="0" applyNumberFormat="1" applyFont="1" applyBorder="1" applyAlignment="1">
      <alignment horizontal="right" vertical="top" wrapText="1"/>
    </xf>
    <xf numFmtId="0" fontId="32" fillId="0" borderId="22" xfId="0" applyFont="1" applyBorder="1" applyAlignment="1">
      <alignment vertical="top" wrapText="1"/>
    </xf>
    <xf numFmtId="0" fontId="33" fillId="0" borderId="64" xfId="0" applyFont="1" applyBorder="1" applyAlignment="1">
      <alignment vertical="top" wrapText="1"/>
    </xf>
    <xf numFmtId="0" fontId="34" fillId="0" borderId="62" xfId="0" applyFont="1" applyBorder="1" applyAlignment="1">
      <alignment vertical="top" wrapText="1"/>
    </xf>
    <xf numFmtId="0" fontId="3" fillId="0" borderId="13" xfId="0" applyFont="1" applyBorder="1" applyAlignment="1">
      <alignment vertical="top"/>
    </xf>
    <xf numFmtId="0" fontId="3" fillId="0" borderId="42" xfId="0" applyFont="1" applyBorder="1" applyAlignment="1">
      <alignment vertical="top"/>
    </xf>
    <xf numFmtId="168" fontId="3" fillId="0" borderId="1" xfId="0" applyNumberFormat="1" applyFont="1" applyBorder="1" applyAlignment="1">
      <alignment vertical="top"/>
    </xf>
    <xf numFmtId="164" fontId="35" fillId="0" borderId="1" xfId="0" applyNumberFormat="1" applyFont="1" applyBorder="1" applyAlignment="1">
      <alignment vertical="top" wrapText="1"/>
    </xf>
    <xf numFmtId="164" fontId="3" fillId="0" borderId="1" xfId="0" applyNumberFormat="1" applyFont="1" applyBorder="1" applyAlignment="1">
      <alignment vertical="top" wrapText="1"/>
    </xf>
    <xf numFmtId="164" fontId="3" fillId="0" borderId="1" xfId="0" applyNumberFormat="1" applyFont="1" applyBorder="1" applyAlignment="1">
      <alignment horizontal="right" vertical="top"/>
    </xf>
    <xf numFmtId="164" fontId="3" fillId="0" borderId="42" xfId="0" applyNumberFormat="1" applyFont="1" applyBorder="1" applyAlignment="1">
      <alignment horizontal="right" vertical="top"/>
    </xf>
    <xf numFmtId="164" fontId="3" fillId="0" borderId="62" xfId="0" applyNumberFormat="1" applyFont="1" applyBorder="1" applyAlignment="1">
      <alignment horizontal="right" vertical="top"/>
    </xf>
    <xf numFmtId="168" fontId="3" fillId="0" borderId="1" xfId="0" applyNumberFormat="1" applyFont="1" applyBorder="1" applyAlignment="1">
      <alignment horizontal="right" vertical="top"/>
    </xf>
    <xf numFmtId="164" fontId="36" fillId="0" borderId="1" xfId="0" applyNumberFormat="1" applyFont="1" applyBorder="1" applyAlignment="1">
      <alignment horizontal="left" vertical="top" wrapText="1"/>
    </xf>
    <xf numFmtId="164" fontId="3" fillId="0" borderId="62" xfId="0" applyNumberFormat="1" applyFont="1" applyBorder="1" applyAlignment="1">
      <alignment vertical="top"/>
    </xf>
    <xf numFmtId="0" fontId="13" fillId="0" borderId="1" xfId="0" applyFont="1" applyBorder="1" applyAlignment="1">
      <alignment vertical="top"/>
    </xf>
    <xf numFmtId="0" fontId="13" fillId="0" borderId="62" xfId="0" applyFont="1" applyBorder="1" applyAlignment="1">
      <alignment vertical="top"/>
    </xf>
    <xf numFmtId="0" fontId="37" fillId="0" borderId="0" xfId="0" applyFont="1" applyAlignment="1">
      <alignment vertical="center"/>
    </xf>
    <xf numFmtId="9" fontId="3" fillId="0" borderId="0" xfId="0" applyNumberFormat="1" applyFont="1"/>
    <xf numFmtId="0" fontId="38" fillId="0" borderId="0" xfId="0" applyFont="1"/>
    <xf numFmtId="0" fontId="21" fillId="0" borderId="0" xfId="0" applyFont="1" applyAlignment="1">
      <alignment vertical="center"/>
    </xf>
    <xf numFmtId="0" fontId="3" fillId="0" borderId="0" xfId="0" applyFont="1" applyAlignment="1">
      <alignment vertical="center"/>
    </xf>
    <xf numFmtId="0" fontId="8" fillId="0" borderId="65" xfId="0" applyFont="1" applyBorder="1" applyAlignment="1">
      <alignment horizontal="center" vertical="center" wrapText="1"/>
    </xf>
    <xf numFmtId="0" fontId="21" fillId="0" borderId="66" xfId="0" applyFont="1" applyBorder="1" applyAlignment="1">
      <alignment horizontal="left" vertical="top"/>
    </xf>
    <xf numFmtId="0" fontId="21" fillId="0" borderId="54" xfId="0" applyFont="1" applyBorder="1" applyAlignment="1">
      <alignment horizontal="left" vertical="top" wrapText="1"/>
    </xf>
    <xf numFmtId="0" fontId="21" fillId="0" borderId="53" xfId="0" applyFont="1" applyBorder="1" applyAlignment="1">
      <alignment horizontal="left" vertical="top" wrapText="1"/>
    </xf>
    <xf numFmtId="0" fontId="21" fillId="0" borderId="65" xfId="0" applyFont="1" applyBorder="1" applyAlignment="1">
      <alignment horizontal="left" vertical="top" wrapText="1"/>
    </xf>
    <xf numFmtId="0" fontId="21" fillId="0" borderId="66" xfId="0" applyFont="1" applyBorder="1" applyAlignment="1">
      <alignment vertical="top"/>
    </xf>
    <xf numFmtId="49" fontId="3" fillId="0" borderId="54" xfId="0" applyNumberFormat="1" applyFont="1" applyBorder="1" applyAlignment="1">
      <alignment horizontal="center" vertical="top"/>
    </xf>
    <xf numFmtId="49" fontId="21" fillId="0" borderId="54" xfId="0" applyNumberFormat="1" applyFont="1" applyBorder="1" applyAlignment="1">
      <alignment horizontal="center" vertical="top"/>
    </xf>
    <xf numFmtId="0" fontId="41" fillId="0" borderId="0" xfId="0" applyFont="1"/>
    <xf numFmtId="0" fontId="42" fillId="0" borderId="0" xfId="0" applyFont="1" applyAlignment="1"/>
    <xf numFmtId="0" fontId="43" fillId="0" borderId="0" xfId="0" applyFont="1"/>
    <xf numFmtId="0" fontId="42" fillId="0" borderId="25" xfId="0" applyFont="1" applyFill="1" applyBorder="1"/>
    <xf numFmtId="0" fontId="44" fillId="0" borderId="0" xfId="0" applyFont="1" applyAlignment="1"/>
    <xf numFmtId="0" fontId="45" fillId="0" borderId="0" xfId="0" applyFont="1" applyAlignment="1"/>
    <xf numFmtId="167" fontId="1" fillId="0" borderId="25" xfId="0" applyNumberFormat="1" applyFont="1" applyBorder="1" applyAlignment="1">
      <alignment horizontal="center" vertical="top"/>
    </xf>
    <xf numFmtId="0" fontId="0" fillId="0" borderId="0" xfId="0" applyFont="1"/>
    <xf numFmtId="0" fontId="40" fillId="0" borderId="0" xfId="1"/>
    <xf numFmtId="0" fontId="11" fillId="3" borderId="2" xfId="0" applyFont="1" applyFill="1" applyBorder="1" applyAlignment="1">
      <alignment horizontal="center" vertical="center"/>
    </xf>
    <xf numFmtId="0" fontId="12" fillId="0" borderId="3" xfId="0" applyFont="1" applyBorder="1"/>
    <xf numFmtId="0" fontId="12" fillId="0" borderId="4" xfId="0" applyFont="1" applyBorder="1"/>
    <xf numFmtId="0" fontId="14" fillId="6" borderId="26" xfId="0" applyFont="1" applyFill="1" applyBorder="1" applyAlignment="1">
      <alignment horizontal="left" vertical="center"/>
    </xf>
    <xf numFmtId="0" fontId="12" fillId="0" borderId="27" xfId="0" applyFont="1" applyBorder="1"/>
    <xf numFmtId="0" fontId="14" fillId="6" borderId="30" xfId="0" applyFont="1" applyFill="1" applyBorder="1" applyAlignment="1">
      <alignment horizontal="center" vertical="center"/>
    </xf>
    <xf numFmtId="0" fontId="12" fillId="0" borderId="31" xfId="0" applyFont="1" applyBorder="1"/>
    <xf numFmtId="0" fontId="12" fillId="0" borderId="32" xfId="0" applyFont="1" applyBorder="1"/>
    <xf numFmtId="0" fontId="14" fillId="6" borderId="33" xfId="0" applyFont="1" applyFill="1" applyBorder="1" applyAlignment="1">
      <alignment horizontal="center" vertical="center"/>
    </xf>
    <xf numFmtId="0" fontId="12" fillId="0" borderId="34" xfId="0" applyFont="1" applyBorder="1"/>
    <xf numFmtId="0" fontId="12" fillId="0" borderId="35" xfId="0" applyFont="1" applyBorder="1"/>
    <xf numFmtId="0" fontId="14" fillId="6" borderId="26" xfId="0" applyFont="1" applyFill="1" applyBorder="1" applyAlignment="1">
      <alignment horizontal="left" vertical="center" wrapText="1"/>
    </xf>
    <xf numFmtId="0" fontId="14" fillId="6" borderId="30" xfId="0" applyFont="1" applyFill="1" applyBorder="1" applyAlignment="1">
      <alignment horizontal="center"/>
    </xf>
    <xf numFmtId="0" fontId="14" fillId="6" borderId="45" xfId="0" applyFont="1" applyFill="1" applyBorder="1" applyAlignment="1">
      <alignment horizontal="center"/>
    </xf>
    <xf numFmtId="0" fontId="14" fillId="6" borderId="26" xfId="0" applyFont="1" applyFill="1" applyBorder="1" applyAlignment="1">
      <alignment horizontal="left" vertical="top" wrapText="1"/>
    </xf>
    <xf numFmtId="0" fontId="14" fillId="6" borderId="30" xfId="0" applyFont="1" applyFill="1" applyBorder="1" applyAlignment="1">
      <alignment horizontal="center" vertical="top"/>
    </xf>
    <xf numFmtId="0" fontId="14" fillId="6" borderId="45" xfId="0" applyFont="1" applyFill="1" applyBorder="1" applyAlignment="1">
      <alignment horizontal="center" vertical="top"/>
    </xf>
    <xf numFmtId="0" fontId="25" fillId="0" borderId="0" xfId="0" applyFont="1" applyAlignment="1">
      <alignment horizontal="center" vertical="top" wrapText="1"/>
    </xf>
    <xf numFmtId="0" fontId="0" fillId="0" borderId="0" xfId="0" applyFont="1" applyAlignment="1"/>
    <xf numFmtId="3" fontId="3" fillId="0" borderId="25" xfId="0" applyNumberFormat="1" applyFont="1" applyBorder="1"/>
    <xf numFmtId="164" fontId="3" fillId="0" borderId="25" xfId="0" applyNumberFormat="1" applyFont="1" applyBorder="1"/>
    <xf numFmtId="168" fontId="3" fillId="0" borderId="25" xfId="0" applyNumberFormat="1" applyFont="1" applyBorder="1"/>
    <xf numFmtId="0" fontId="3" fillId="0" borderId="67" xfId="0" applyFont="1" applyBorder="1"/>
    <xf numFmtId="3" fontId="3" fillId="0" borderId="67" xfId="0" applyNumberFormat="1" applyFont="1" applyBorder="1"/>
    <xf numFmtId="164" fontId="3" fillId="0" borderId="67" xfId="0" applyNumberFormat="1" applyFont="1" applyBorder="1"/>
    <xf numFmtId="168" fontId="3" fillId="0" borderId="67" xfId="0" applyNumberFormat="1" applyFont="1" applyBorder="1"/>
    <xf numFmtId="164" fontId="3" fillId="0" borderId="68" xfId="0" applyNumberFormat="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worksheet" Target="worksheets/sheet16.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www.bls.gov/oes/2017/may/oes151142.htm" TargetMode="External"/><Relationship Id="rId13" Type="http://schemas.openxmlformats.org/officeDocument/2006/relationships/hyperlink" Target="https://www.pryor.com/training-seminars/microsoft-excel-basics/" TargetMode="External"/><Relationship Id="rId3" Type="http://schemas.openxmlformats.org/officeDocument/2006/relationships/hyperlink" Target="https://www.bls.gov/oes/2019/may/oes151221.htm)" TargetMode="External"/><Relationship Id="rId7" Type="http://schemas.openxmlformats.org/officeDocument/2006/relationships/hyperlink" Target="https://www.bls.gov/oes/2016/may/oes151142.htm" TargetMode="External"/><Relationship Id="rId12" Type="http://schemas.openxmlformats.org/officeDocument/2006/relationships/hyperlink" Target="https://www.bls.gov/news.release/archives/ecec_03182021.htm" TargetMode="External"/><Relationship Id="rId2" Type="http://schemas.openxmlformats.org/officeDocument/2006/relationships/hyperlink" Target="https://www.bls.gov/oes/2017/may/oes151111.htm" TargetMode="External"/><Relationship Id="rId1" Type="http://schemas.openxmlformats.org/officeDocument/2006/relationships/hyperlink" Target="https://www.bls.gov/oes/special.requests/oesm15nat.zip" TargetMode="External"/><Relationship Id="rId6" Type="http://schemas.openxmlformats.org/officeDocument/2006/relationships/hyperlink" Target="https://www.bls.gov/oes/special.requests/oesm15nat.zip" TargetMode="External"/><Relationship Id="rId11" Type="http://schemas.openxmlformats.org/officeDocument/2006/relationships/hyperlink" Target="https://www.bls.gov/oes/current/oes151244.htm" TargetMode="External"/><Relationship Id="rId5" Type="http://schemas.openxmlformats.org/officeDocument/2006/relationships/hyperlink" Target="https://www.bls.gov/news.release/ecec.nr0.htm" TargetMode="External"/><Relationship Id="rId15" Type="http://schemas.openxmlformats.org/officeDocument/2006/relationships/printerSettings" Target="../printerSettings/printerSettings14.bin"/><Relationship Id="rId10" Type="http://schemas.openxmlformats.org/officeDocument/2006/relationships/hyperlink" Target="https://www.bls.gov/oes/current/oes151244.htm" TargetMode="External"/><Relationship Id="rId4" Type="http://schemas.openxmlformats.org/officeDocument/2006/relationships/hyperlink" Target="https://www.bls.gov/oes/2020/may/oes151221.htm" TargetMode="External"/><Relationship Id="rId9" Type="http://schemas.openxmlformats.org/officeDocument/2006/relationships/hyperlink" Target="https://www.bls.gov/oes/2018/may/oes151142.htm" TargetMode="External"/><Relationship Id="rId14" Type="http://schemas.openxmlformats.org/officeDocument/2006/relationships/hyperlink" Target="http://www.hrclassroom.com/content/lms-training-basic-pricing.aspx"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thinkhdi.com/library/supportworld/2020/metric-of-month-tickets-prevented" TargetMode="External"/><Relationship Id="rId3" Type="http://schemas.openxmlformats.org/officeDocument/2006/relationships/hyperlink" Target="https://www.bls.gov/oes/tables.htm" TargetMode="External"/><Relationship Id="rId7" Type="http://schemas.openxmlformats.org/officeDocument/2006/relationships/hyperlink" Target="https://www.bmc.com/blogs/cost-per-ticket/" TargetMode="External"/><Relationship Id="rId2" Type="http://schemas.openxmlformats.org/officeDocument/2006/relationships/hyperlink" Target="https://www.bls.gov/bls/news-release/ecec.htm" TargetMode="External"/><Relationship Id="rId1" Type="http://schemas.openxmlformats.org/officeDocument/2006/relationships/hyperlink" Target="https://www.bls.gov/oes/tables.htm" TargetMode="External"/><Relationship Id="rId6" Type="http://schemas.openxmlformats.org/officeDocument/2006/relationships/hyperlink" Target="https://www.bmc.com/blogs/cost-per-ticket/" TargetMode="External"/><Relationship Id="rId5" Type="http://schemas.openxmlformats.org/officeDocument/2006/relationships/hyperlink" Target="https://www.thinkhdi.com/~/media/HDICorp/Files/Library-Archive/Rumburg_SevenKPIs.pdf" TargetMode="External"/><Relationship Id="rId10" Type="http://schemas.openxmlformats.org/officeDocument/2006/relationships/printerSettings" Target="../printerSettings/printerSettings15.bin"/><Relationship Id="rId4" Type="http://schemas.openxmlformats.org/officeDocument/2006/relationships/hyperlink" Target="https://www.bls.gov/bls/news-release/ecec.htm" TargetMode="External"/><Relationship Id="rId9" Type="http://schemas.openxmlformats.org/officeDocument/2006/relationships/hyperlink" Target="https://financesonline.com/help-desk-statistics-analysis-of-trends-data-and-market-shar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A5" sqref="A5"/>
    </sheetView>
  </sheetViews>
  <sheetFormatPr defaultColWidth="14.453125" defaultRowHeight="15" customHeight="1"/>
  <cols>
    <col min="1" max="1" width="17.26953125" customWidth="1"/>
    <col min="2" max="2" width="12.453125" customWidth="1"/>
    <col min="3" max="3" width="12.81640625" customWidth="1"/>
    <col min="4" max="26" width="8.7265625" customWidth="1"/>
  </cols>
  <sheetData>
    <row r="1" spans="1:26" ht="17.25" customHeight="1">
      <c r="A1" s="302" t="s">
        <v>625</v>
      </c>
      <c r="B1" s="1"/>
      <c r="C1" s="1"/>
      <c r="D1" s="1"/>
      <c r="E1" s="1"/>
      <c r="F1" s="1"/>
      <c r="G1" s="1"/>
      <c r="H1" s="1"/>
      <c r="I1" s="1"/>
      <c r="J1" s="1"/>
      <c r="K1" s="1"/>
      <c r="L1" s="1"/>
      <c r="M1" s="1"/>
      <c r="N1" s="2"/>
      <c r="O1" s="2"/>
      <c r="P1" s="2"/>
      <c r="Q1" s="2"/>
      <c r="R1" s="2"/>
      <c r="S1" s="2"/>
      <c r="T1" s="2"/>
      <c r="U1" s="2"/>
      <c r="V1" s="2"/>
      <c r="W1" s="2"/>
      <c r="X1" s="2"/>
      <c r="Y1" s="2"/>
      <c r="Z1" s="2"/>
    </row>
    <row r="2" spans="1:26" ht="14.25" customHeight="1">
      <c r="A2" s="3" t="s">
        <v>0</v>
      </c>
    </row>
    <row r="3" spans="1:26" ht="14.25" customHeight="1">
      <c r="A3" s="3" t="s">
        <v>1</v>
      </c>
    </row>
    <row r="4" spans="1:26" ht="14.25" customHeight="1">
      <c r="A4" s="303" t="s">
        <v>2</v>
      </c>
    </row>
    <row r="5" spans="1:26" ht="14.25" customHeight="1">
      <c r="A5" s="303" t="s">
        <v>626</v>
      </c>
    </row>
    <row r="6" spans="1:26" ht="14.25" customHeight="1"/>
    <row r="7" spans="1:26" ht="14.25" customHeight="1">
      <c r="A7" s="298" t="s">
        <v>3</v>
      </c>
      <c r="B7" s="298"/>
      <c r="C7" s="298"/>
      <c r="D7" s="299"/>
      <c r="E7" s="299"/>
      <c r="F7" s="299"/>
      <c r="G7" s="299"/>
      <c r="H7" s="299"/>
      <c r="I7" s="299"/>
      <c r="J7" s="299"/>
      <c r="K7" s="299"/>
      <c r="L7" s="299"/>
      <c r="M7" s="299"/>
      <c r="N7" s="299"/>
      <c r="O7" s="299"/>
      <c r="P7" s="299"/>
    </row>
    <row r="8" spans="1:26" ht="14.25" customHeight="1">
      <c r="A8" s="300" t="s">
        <v>620</v>
      </c>
      <c r="B8" s="298"/>
      <c r="C8" s="298"/>
      <c r="D8" s="299"/>
      <c r="E8" s="299"/>
      <c r="F8" s="299"/>
      <c r="G8" s="299"/>
      <c r="H8" s="299"/>
      <c r="I8" s="299"/>
      <c r="J8" s="299"/>
      <c r="K8" s="299"/>
      <c r="L8" s="299"/>
      <c r="M8" s="299"/>
      <c r="N8" s="299"/>
      <c r="O8" s="299"/>
      <c r="P8" s="299"/>
    </row>
    <row r="9" spans="1:26" ht="15" customHeight="1">
      <c r="A9" s="299" t="s">
        <v>621</v>
      </c>
    </row>
    <row r="10" spans="1:26" ht="14.25" customHeight="1">
      <c r="A10" s="300" t="s">
        <v>619</v>
      </c>
      <c r="B10" s="298"/>
      <c r="C10" s="298"/>
      <c r="D10" s="299"/>
      <c r="E10" s="299"/>
      <c r="F10" s="299"/>
      <c r="G10" s="299"/>
      <c r="H10" s="299"/>
      <c r="I10" s="299"/>
      <c r="J10" s="299"/>
      <c r="K10" s="299"/>
      <c r="L10" s="299"/>
      <c r="M10" s="299"/>
      <c r="N10" s="299"/>
      <c r="O10" s="299"/>
      <c r="P10" s="299"/>
    </row>
    <row r="11" spans="1:26" ht="15" customHeight="1">
      <c r="A11" s="301" t="s">
        <v>622</v>
      </c>
    </row>
    <row r="12" spans="1:26" ht="14.25" customHeight="1">
      <c r="A12" s="300" t="s">
        <v>4</v>
      </c>
      <c r="B12" s="298"/>
      <c r="C12" s="298"/>
      <c r="D12" s="299"/>
      <c r="E12" s="299"/>
      <c r="F12" s="299"/>
      <c r="G12" s="299"/>
      <c r="H12" s="299"/>
      <c r="I12" s="299"/>
      <c r="J12" s="299"/>
      <c r="K12" s="299"/>
      <c r="L12" s="299"/>
      <c r="M12" s="299"/>
      <c r="N12" s="299"/>
      <c r="O12" s="299"/>
      <c r="P12" s="299"/>
    </row>
    <row r="13" spans="1:26" ht="14.25" customHeight="1">
      <c r="A13" s="298" t="s">
        <v>5</v>
      </c>
      <c r="B13" s="298"/>
      <c r="C13" s="298"/>
      <c r="D13" s="299"/>
      <c r="E13" s="299"/>
      <c r="F13" s="299"/>
      <c r="G13" s="299"/>
      <c r="H13" s="299"/>
      <c r="I13" s="299"/>
      <c r="J13" s="299"/>
      <c r="K13" s="299"/>
      <c r="L13" s="299"/>
      <c r="M13" s="299"/>
      <c r="N13" s="299"/>
      <c r="O13" s="299"/>
      <c r="P13" s="299"/>
    </row>
    <row r="15" spans="1:26" ht="14.25" customHeight="1">
      <c r="A15" s="4" t="s">
        <v>6</v>
      </c>
      <c r="B15" s="4"/>
      <c r="C15" s="4"/>
    </row>
    <row r="16" spans="1:26" ht="12.75" customHeight="1">
      <c r="A16" s="5" t="s">
        <v>7</v>
      </c>
      <c r="B16" s="5" t="s">
        <v>8</v>
      </c>
      <c r="C16" s="5" t="s">
        <v>9</v>
      </c>
      <c r="D16" s="6"/>
      <c r="E16" s="6"/>
      <c r="F16" s="6"/>
      <c r="G16" s="6"/>
      <c r="H16" s="6"/>
      <c r="I16" s="6"/>
      <c r="J16" s="6"/>
      <c r="K16" s="6"/>
      <c r="L16" s="6"/>
      <c r="M16" s="6"/>
    </row>
    <row r="17" spans="1:3" ht="12.75" customHeight="1">
      <c r="A17" s="7" t="s">
        <v>10</v>
      </c>
      <c r="B17" s="8">
        <v>41821</v>
      </c>
      <c r="C17" s="9">
        <v>42185</v>
      </c>
    </row>
    <row r="18" spans="1:3" ht="13.5" customHeight="1">
      <c r="A18" s="7" t="s">
        <v>11</v>
      </c>
      <c r="B18" s="8">
        <v>42186</v>
      </c>
      <c r="C18" s="8">
        <v>42613</v>
      </c>
    </row>
    <row r="19" spans="1:3" ht="12.75" customHeight="1">
      <c r="A19" s="7" t="s">
        <v>12</v>
      </c>
      <c r="B19" s="8">
        <v>42614</v>
      </c>
      <c r="C19" s="8">
        <v>42978</v>
      </c>
    </row>
    <row r="20" spans="1:3" ht="12.75" customHeight="1">
      <c r="A20" s="7" t="s">
        <v>13</v>
      </c>
      <c r="B20" s="8">
        <v>42979</v>
      </c>
      <c r="C20" s="10">
        <v>43343</v>
      </c>
    </row>
    <row r="21" spans="1:3" ht="12" customHeight="1">
      <c r="A21" s="7" t="s">
        <v>14</v>
      </c>
      <c r="B21" s="8">
        <v>43344</v>
      </c>
      <c r="C21" s="8">
        <v>43708</v>
      </c>
    </row>
    <row r="22" spans="1:3" ht="12" customHeight="1">
      <c r="A22" s="7" t="s">
        <v>15</v>
      </c>
      <c r="B22" s="8">
        <v>43709</v>
      </c>
      <c r="C22" s="8">
        <v>44074</v>
      </c>
    </row>
    <row r="23" spans="1:3" ht="12" customHeight="1">
      <c r="A23" s="11"/>
      <c r="B23" s="12"/>
      <c r="C23" s="12"/>
    </row>
    <row r="24" spans="1:3" ht="14.25" customHeight="1">
      <c r="A24" s="13" t="s">
        <v>16</v>
      </c>
      <c r="B24" s="14"/>
    </row>
    <row r="25" spans="1:3" ht="14.25" customHeight="1"/>
    <row r="26" spans="1:3" ht="14.25" customHeight="1">
      <c r="A26" s="14" t="s">
        <v>17</v>
      </c>
      <c r="B26" s="14" t="s">
        <v>18</v>
      </c>
    </row>
    <row r="27" spans="1:3" ht="14.25" customHeight="1">
      <c r="A27" s="15" t="s">
        <v>19</v>
      </c>
      <c r="B27" s="15" t="s">
        <v>20</v>
      </c>
    </row>
    <row r="28" spans="1:3" ht="14.25" customHeight="1">
      <c r="A28" s="15" t="s">
        <v>21</v>
      </c>
      <c r="B28" s="15" t="s">
        <v>22</v>
      </c>
    </row>
    <row r="29" spans="1:3" ht="14.25" customHeight="1">
      <c r="A29" s="15" t="s">
        <v>23</v>
      </c>
      <c r="B29" s="15" t="s">
        <v>24</v>
      </c>
    </row>
    <row r="30" spans="1:3" ht="14.25" customHeight="1">
      <c r="A30" s="15" t="s">
        <v>25</v>
      </c>
      <c r="B30" s="15" t="s">
        <v>26</v>
      </c>
    </row>
    <row r="31" spans="1:3" ht="14.25" customHeight="1">
      <c r="A31" s="15" t="s">
        <v>27</v>
      </c>
      <c r="B31" s="15" t="s">
        <v>28</v>
      </c>
    </row>
    <row r="32" spans="1:3" ht="14.25" customHeight="1">
      <c r="A32" s="15" t="s">
        <v>29</v>
      </c>
      <c r="B32" s="15" t="s">
        <v>30</v>
      </c>
    </row>
    <row r="33" spans="1:2" ht="14.25" customHeight="1">
      <c r="A33" s="15" t="s">
        <v>31</v>
      </c>
      <c r="B33" s="15" t="s">
        <v>32</v>
      </c>
    </row>
    <row r="34" spans="1:2" ht="14.25" customHeight="1">
      <c r="A34" s="15" t="s">
        <v>33</v>
      </c>
      <c r="B34" s="15" t="s">
        <v>34</v>
      </c>
    </row>
    <row r="35" spans="1:2" ht="14.25" customHeight="1">
      <c r="A35" s="15" t="s">
        <v>35</v>
      </c>
      <c r="B35" s="15" t="s">
        <v>36</v>
      </c>
    </row>
    <row r="36" spans="1:2" ht="14.25" customHeight="1">
      <c r="A36" s="15" t="s">
        <v>37</v>
      </c>
      <c r="B36" s="15" t="s">
        <v>38</v>
      </c>
    </row>
    <row r="37" spans="1:2" ht="14.25" customHeight="1">
      <c r="A37" s="15" t="s">
        <v>39</v>
      </c>
      <c r="B37" s="15" t="s">
        <v>40</v>
      </c>
    </row>
    <row r="38" spans="1:2" ht="14.25" customHeight="1">
      <c r="A38" s="15" t="s">
        <v>41</v>
      </c>
      <c r="B38" s="15" t="s">
        <v>42</v>
      </c>
    </row>
    <row r="39" spans="1:2" ht="14.25" customHeight="1">
      <c r="A39" s="15" t="s">
        <v>43</v>
      </c>
      <c r="B39" s="15" t="s">
        <v>44</v>
      </c>
    </row>
    <row r="40" spans="1:2" ht="14.25" customHeight="1">
      <c r="A40" s="15" t="s">
        <v>45</v>
      </c>
      <c r="B40" s="16" t="s">
        <v>46</v>
      </c>
    </row>
    <row r="41" spans="1:2" ht="14.25" customHeight="1">
      <c r="A41" s="15" t="s">
        <v>47</v>
      </c>
      <c r="B41" s="15" t="s">
        <v>48</v>
      </c>
    </row>
    <row r="42" spans="1:2" ht="14.25" customHeight="1"/>
    <row r="43" spans="1:2" ht="14.25" customHeight="1"/>
    <row r="44" spans="1:2" ht="14.25" customHeight="1"/>
    <row r="45" spans="1:2" ht="14.25" customHeight="1"/>
    <row r="46" spans="1:2" ht="14.25" customHeight="1"/>
    <row r="47" spans="1:2" ht="14.25" customHeight="1"/>
    <row r="48" spans="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00"/>
  <sheetViews>
    <sheetView topLeftCell="J1" workbookViewId="0">
      <selection activeCell="J30" sqref="J30"/>
    </sheetView>
  </sheetViews>
  <sheetFormatPr defaultColWidth="14.453125" defaultRowHeight="15" customHeight="1"/>
  <cols>
    <col min="1" max="1" width="8.7265625" customWidth="1"/>
    <col min="2" max="2" width="11.7265625" customWidth="1"/>
    <col min="3" max="3" width="12.26953125" customWidth="1"/>
    <col min="4" max="4" width="12" customWidth="1"/>
    <col min="5" max="5" width="11.81640625" customWidth="1"/>
    <col min="6" max="6" width="12.08984375" customWidth="1"/>
    <col min="7" max="7" width="9.453125" customWidth="1"/>
    <col min="8" max="8" width="8.7265625" customWidth="1"/>
    <col min="9" max="9" width="3.26953125" customWidth="1"/>
    <col min="10" max="26" width="8.7265625" customWidth="1"/>
  </cols>
  <sheetData>
    <row r="1" spans="1:14" ht="14.25" customHeight="1"/>
    <row r="2" spans="1:14" ht="14.25" customHeight="1">
      <c r="A2" s="14" t="s">
        <v>416</v>
      </c>
    </row>
    <row r="3" spans="1:14" ht="14.25" customHeight="1">
      <c r="B3" s="15" t="s">
        <v>417</v>
      </c>
      <c r="C3" s="15" t="s">
        <v>418</v>
      </c>
      <c r="D3" s="15" t="s">
        <v>419</v>
      </c>
      <c r="J3" s="164" t="s">
        <v>627</v>
      </c>
      <c r="L3" s="2"/>
      <c r="M3" s="165"/>
      <c r="N3" s="165"/>
    </row>
    <row r="4" spans="1:14" ht="14.25" customHeight="1">
      <c r="A4" s="15" t="s">
        <v>10</v>
      </c>
      <c r="B4" s="15">
        <v>7984</v>
      </c>
      <c r="C4" s="15">
        <v>21494</v>
      </c>
      <c r="D4" s="15">
        <v>22364</v>
      </c>
      <c r="J4" s="166" t="s">
        <v>420</v>
      </c>
      <c r="L4" s="167"/>
      <c r="M4" s="167"/>
      <c r="N4" s="2"/>
    </row>
    <row r="5" spans="1:14" ht="14.25" customHeight="1">
      <c r="A5" s="15" t="s">
        <v>11</v>
      </c>
      <c r="B5" s="15">
        <v>2479</v>
      </c>
      <c r="C5" s="15">
        <v>40492</v>
      </c>
      <c r="D5" s="15">
        <v>35386</v>
      </c>
      <c r="J5" s="168"/>
      <c r="L5" s="167"/>
      <c r="M5" s="165"/>
      <c r="N5" s="2"/>
    </row>
    <row r="6" spans="1:14" ht="14.25" customHeight="1">
      <c r="A6" s="15" t="s">
        <v>12</v>
      </c>
      <c r="B6" s="15">
        <v>4970</v>
      </c>
      <c r="C6" s="15">
        <v>15689</v>
      </c>
      <c r="D6" s="15">
        <v>30382</v>
      </c>
      <c r="J6" s="169" t="s">
        <v>421</v>
      </c>
      <c r="L6" s="167"/>
      <c r="M6" s="165"/>
      <c r="N6" s="2"/>
    </row>
    <row r="7" spans="1:14" ht="14.25" customHeight="1">
      <c r="A7" s="15" t="s">
        <v>13</v>
      </c>
      <c r="B7" s="15">
        <v>3319</v>
      </c>
      <c r="C7" s="15">
        <v>7681</v>
      </c>
      <c r="D7" s="15">
        <v>42104</v>
      </c>
      <c r="J7" s="170" t="s">
        <v>422</v>
      </c>
      <c r="L7" s="165"/>
      <c r="M7" s="165"/>
      <c r="N7" s="2"/>
    </row>
    <row r="8" spans="1:14" ht="14.25" customHeight="1">
      <c r="A8" s="15" t="s">
        <v>14</v>
      </c>
      <c r="B8" s="15">
        <v>5380</v>
      </c>
      <c r="C8" s="15">
        <v>5981</v>
      </c>
      <c r="D8" s="15">
        <v>43079</v>
      </c>
      <c r="J8" s="170" t="s">
        <v>423</v>
      </c>
      <c r="L8" s="165"/>
      <c r="M8" s="165"/>
      <c r="N8" s="2"/>
    </row>
    <row r="9" spans="1:14" ht="14.25" customHeight="1">
      <c r="A9" s="15" t="s">
        <v>15</v>
      </c>
      <c r="B9" s="15">
        <v>34444</v>
      </c>
      <c r="C9" s="15">
        <v>6710</v>
      </c>
      <c r="D9" s="15">
        <v>18751</v>
      </c>
      <c r="J9" s="170" t="s">
        <v>424</v>
      </c>
      <c r="L9" s="165"/>
      <c r="M9" s="165"/>
      <c r="N9" s="2"/>
    </row>
    <row r="10" spans="1:14" ht="14.25" customHeight="1">
      <c r="B10" s="304"/>
      <c r="C10" s="304"/>
      <c r="D10" s="304"/>
      <c r="E10" s="171"/>
      <c r="J10" s="2"/>
      <c r="L10" s="165"/>
      <c r="M10" s="165"/>
      <c r="N10" s="2"/>
    </row>
    <row r="11" spans="1:14" ht="14.25" customHeight="1">
      <c r="A11" s="14" t="s">
        <v>426</v>
      </c>
      <c r="J11" s="169" t="s">
        <v>425</v>
      </c>
      <c r="L11" s="2"/>
      <c r="M11" s="2"/>
      <c r="N11" s="2"/>
    </row>
    <row r="12" spans="1:14" ht="14.25" customHeight="1">
      <c r="B12" s="157" t="s">
        <v>10</v>
      </c>
      <c r="C12" s="157" t="s">
        <v>11</v>
      </c>
      <c r="D12" s="157" t="s">
        <v>12</v>
      </c>
      <c r="E12" s="157" t="s">
        <v>13</v>
      </c>
      <c r="F12" s="157" t="s">
        <v>14</v>
      </c>
      <c r="G12" s="157" t="s">
        <v>15</v>
      </c>
      <c r="H12" s="157" t="s">
        <v>427</v>
      </c>
      <c r="J12" s="170" t="s">
        <v>629</v>
      </c>
      <c r="L12" s="2"/>
      <c r="M12" s="2"/>
      <c r="N12" s="2"/>
    </row>
    <row r="13" spans="1:14" ht="14.25" customHeight="1">
      <c r="A13" s="15" t="s">
        <v>428</v>
      </c>
      <c r="B13" s="172">
        <v>7984</v>
      </c>
      <c r="C13" s="172">
        <v>2479</v>
      </c>
      <c r="D13" s="172">
        <v>4970</v>
      </c>
      <c r="E13" s="172">
        <v>3319</v>
      </c>
      <c r="F13" s="172">
        <v>5380</v>
      </c>
      <c r="G13" s="172">
        <v>34444</v>
      </c>
      <c r="H13" s="173">
        <v>9.98</v>
      </c>
      <c r="J13" s="170" t="s">
        <v>423</v>
      </c>
      <c r="L13" s="2"/>
      <c r="M13" s="2"/>
      <c r="N13" s="2"/>
    </row>
    <row r="14" spans="1:14" ht="14.25" customHeight="1">
      <c r="B14" s="174">
        <f>B13*H13</f>
        <v>79680.320000000007</v>
      </c>
      <c r="C14" s="174">
        <f>C13*H13</f>
        <v>24740.420000000002</v>
      </c>
      <c r="D14" s="174">
        <f>D13*H13</f>
        <v>49600.6</v>
      </c>
      <c r="E14" s="174">
        <f>E13*H13</f>
        <v>33123.620000000003</v>
      </c>
      <c r="F14" s="174">
        <f>F13*H13</f>
        <v>53692.4</v>
      </c>
      <c r="G14" s="174">
        <f>G13*H13</f>
        <v>343751.12</v>
      </c>
      <c r="H14" s="173"/>
      <c r="J14" s="170" t="s">
        <v>628</v>
      </c>
      <c r="L14" s="2"/>
      <c r="M14" s="2"/>
      <c r="N14" s="2"/>
    </row>
    <row r="15" spans="1:14" ht="14.25" customHeight="1">
      <c r="A15" s="15" t="s">
        <v>418</v>
      </c>
      <c r="B15" s="172">
        <v>21494</v>
      </c>
      <c r="C15" s="172">
        <v>40492</v>
      </c>
      <c r="D15" s="172">
        <v>15689</v>
      </c>
      <c r="E15" s="172">
        <v>7681</v>
      </c>
      <c r="F15" s="172">
        <v>5981</v>
      </c>
      <c r="G15" s="3">
        <v>6710</v>
      </c>
      <c r="H15" s="173">
        <v>9.98</v>
      </c>
    </row>
    <row r="16" spans="1:14" ht="14.25" customHeight="1">
      <c r="B16" s="156">
        <f>B15*H15</f>
        <v>214510.12</v>
      </c>
      <c r="C16" s="156">
        <f>C15*H15</f>
        <v>404110.16000000003</v>
      </c>
      <c r="D16" s="156">
        <f>D15*H15</f>
        <v>156576.22</v>
      </c>
      <c r="E16" s="156">
        <f>E15*H15</f>
        <v>76656.38</v>
      </c>
      <c r="F16" s="156">
        <f>F15*H15</f>
        <v>59690.380000000005</v>
      </c>
      <c r="G16" s="156">
        <f>G15*H15</f>
        <v>66965.8</v>
      </c>
      <c r="H16" s="173"/>
      <c r="J16" s="169" t="s">
        <v>429</v>
      </c>
      <c r="L16" s="2"/>
      <c r="M16" s="2"/>
      <c r="N16" s="2"/>
    </row>
    <row r="17" spans="1:14" ht="14.25" customHeight="1">
      <c r="A17" s="15" t="s">
        <v>419</v>
      </c>
      <c r="B17" s="172">
        <v>22364</v>
      </c>
      <c r="C17" s="172">
        <v>35386</v>
      </c>
      <c r="D17" s="172">
        <v>30382</v>
      </c>
      <c r="E17" s="172">
        <v>42104</v>
      </c>
      <c r="F17" s="172">
        <v>43079</v>
      </c>
      <c r="G17" s="172">
        <v>18751</v>
      </c>
      <c r="H17" s="173">
        <v>11.29</v>
      </c>
      <c r="J17" s="170" t="s">
        <v>430</v>
      </c>
      <c r="L17" s="2"/>
      <c r="M17" s="2"/>
      <c r="N17" s="2"/>
    </row>
    <row r="18" spans="1:14" ht="14.25" customHeight="1">
      <c r="B18" s="156">
        <f>B17*H17</f>
        <v>252489.55999999997</v>
      </c>
      <c r="C18" s="156">
        <f>C17*H17</f>
        <v>399507.93999999994</v>
      </c>
      <c r="D18" s="156">
        <f>D17*H17</f>
        <v>343012.77999999997</v>
      </c>
      <c r="E18" s="156">
        <f>E17*H17</f>
        <v>475354.16</v>
      </c>
      <c r="F18" s="156">
        <f>F17*H17</f>
        <v>486361.91</v>
      </c>
      <c r="G18" s="156">
        <f>G17*H17</f>
        <v>211698.78999999998</v>
      </c>
      <c r="J18" s="170" t="s">
        <v>431</v>
      </c>
      <c r="L18" s="170"/>
      <c r="M18" s="2"/>
      <c r="N18" s="2"/>
    </row>
    <row r="19" spans="1:14" ht="14.25" customHeight="1">
      <c r="A19" s="15" t="s">
        <v>433</v>
      </c>
      <c r="B19" s="175">
        <f t="shared" ref="B19:G19" si="0">SUM(B14,B16,B18)</f>
        <v>546680</v>
      </c>
      <c r="C19" s="175">
        <f t="shared" si="0"/>
        <v>828358.52</v>
      </c>
      <c r="D19" s="175">
        <f t="shared" si="0"/>
        <v>549189.6</v>
      </c>
      <c r="E19" s="175">
        <f t="shared" si="0"/>
        <v>585134.15999999992</v>
      </c>
      <c r="F19" s="175">
        <f t="shared" si="0"/>
        <v>599744.68999999994</v>
      </c>
      <c r="G19" s="175">
        <f t="shared" si="0"/>
        <v>622415.71</v>
      </c>
      <c r="J19" s="170" t="s">
        <v>432</v>
      </c>
      <c r="L19" s="170"/>
    </row>
    <row r="20" spans="1:14" ht="14.25" customHeight="1">
      <c r="J20" s="170" t="s">
        <v>434</v>
      </c>
      <c r="L20" s="170"/>
    </row>
    <row r="21" spans="1:14" ht="14.25" customHeight="1">
      <c r="B21" s="305" t="s">
        <v>623</v>
      </c>
      <c r="J21" s="170" t="s">
        <v>435</v>
      </c>
      <c r="L21" s="170"/>
    </row>
    <row r="22" spans="1:14" ht="14.25" customHeight="1">
      <c r="J22" s="170" t="s">
        <v>436</v>
      </c>
      <c r="L22" s="170"/>
    </row>
    <row r="23" spans="1:14" ht="14.25" customHeight="1">
      <c r="J23" s="170" t="s">
        <v>438</v>
      </c>
      <c r="L23" s="170"/>
    </row>
    <row r="24" spans="1:14" ht="14.25" customHeight="1">
      <c r="J24" s="170" t="s">
        <v>439</v>
      </c>
      <c r="L24" s="170"/>
    </row>
    <row r="25" spans="1:14" ht="14.25" customHeight="1">
      <c r="J25" s="170" t="s">
        <v>440</v>
      </c>
      <c r="L25" s="170"/>
    </row>
    <row r="26" spans="1:14" ht="14.25" customHeight="1">
      <c r="J26" s="170" t="s">
        <v>441</v>
      </c>
      <c r="L26" s="170"/>
    </row>
    <row r="27" spans="1:14" ht="14.25" customHeight="1">
      <c r="J27" s="170" t="s">
        <v>439</v>
      </c>
      <c r="L27" s="170"/>
    </row>
    <row r="28" spans="1:14" ht="14.25" customHeight="1">
      <c r="J28" s="170" t="s">
        <v>630</v>
      </c>
      <c r="L28" s="170"/>
    </row>
    <row r="29" spans="1:14" ht="14.25" customHeight="1">
      <c r="J29" s="170" t="s">
        <v>442</v>
      </c>
      <c r="L29" s="170"/>
    </row>
    <row r="30" spans="1:14" ht="14.25" customHeight="1">
      <c r="J30" s="2"/>
      <c r="L30" s="170"/>
    </row>
    <row r="31" spans="1:14" ht="14.25" customHeight="1">
      <c r="J31" s="170" t="s">
        <v>443</v>
      </c>
      <c r="L31" s="170"/>
    </row>
    <row r="32" spans="1:14" ht="14.25" customHeight="1">
      <c r="J32" s="176"/>
      <c r="L32" s="170"/>
    </row>
    <row r="33" spans="10:12" ht="14.25" customHeight="1">
      <c r="J33" s="176"/>
      <c r="L33" s="170"/>
    </row>
    <row r="34" spans="10:12" ht="14.25" customHeight="1"/>
    <row r="35" spans="10:12" ht="14.25" customHeight="1"/>
    <row r="36" spans="10:12" ht="14.25" customHeight="1"/>
    <row r="37" spans="10:12" ht="14.25" customHeight="1"/>
    <row r="38" spans="10:12" ht="14.25" customHeight="1"/>
    <row r="39" spans="10:12" ht="14.25" customHeight="1"/>
    <row r="40" spans="10:12" ht="14.25" customHeight="1"/>
    <row r="41" spans="10:12" ht="14.25" customHeight="1"/>
    <row r="42" spans="10:12" ht="14.25" customHeight="1"/>
    <row r="43" spans="10:12" ht="14.25" customHeight="1"/>
    <row r="44" spans="10:12" ht="14.25" customHeight="1"/>
    <row r="45" spans="10:12" ht="14.25" customHeight="1"/>
    <row r="46" spans="10:12" ht="14.25" customHeight="1"/>
    <row r="47" spans="10:12" ht="14.25" customHeight="1"/>
    <row r="48" spans="10: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defaultColWidth="14.453125" defaultRowHeight="15" customHeight="1"/>
  <cols>
    <col min="1" max="1" width="8.7265625" customWidth="1"/>
    <col min="2" max="2" width="10.7265625" customWidth="1"/>
    <col min="3" max="4" width="8.7265625" customWidth="1"/>
    <col min="5" max="5" width="9.453125" customWidth="1"/>
    <col min="6" max="26" width="8.7265625" customWidth="1"/>
  </cols>
  <sheetData>
    <row r="1" spans="1:26" ht="14.25" customHeight="1">
      <c r="A1" s="15" t="s">
        <v>444</v>
      </c>
    </row>
    <row r="2" spans="1:26" ht="14.25" customHeight="1"/>
    <row r="3" spans="1:26" ht="14.25" customHeight="1">
      <c r="A3" s="157"/>
      <c r="B3" s="157" t="s">
        <v>445</v>
      </c>
      <c r="C3" s="157" t="s">
        <v>446</v>
      </c>
      <c r="D3" s="157" t="s">
        <v>447</v>
      </c>
      <c r="E3" s="157" t="s">
        <v>427</v>
      </c>
      <c r="F3" s="157" t="s">
        <v>433</v>
      </c>
      <c r="G3" s="157"/>
      <c r="H3" s="157"/>
      <c r="I3" s="157"/>
      <c r="J3" s="157"/>
      <c r="K3" s="157"/>
      <c r="L3" s="157"/>
      <c r="M3" s="157"/>
      <c r="N3" s="157"/>
      <c r="O3" s="157"/>
      <c r="P3" s="157"/>
      <c r="Q3" s="157"/>
      <c r="R3" s="157"/>
      <c r="S3" s="157"/>
      <c r="T3" s="157"/>
      <c r="U3" s="157"/>
      <c r="V3" s="157"/>
      <c r="W3" s="157"/>
      <c r="X3" s="157"/>
      <c r="Y3" s="157"/>
      <c r="Z3" s="157"/>
    </row>
    <row r="4" spans="1:26" ht="14.25" customHeight="1">
      <c r="A4" s="15" t="s">
        <v>10</v>
      </c>
      <c r="B4" s="172">
        <v>0</v>
      </c>
      <c r="C4" s="15">
        <v>0</v>
      </c>
      <c r="D4" s="15">
        <v>0</v>
      </c>
      <c r="E4" s="177">
        <v>22</v>
      </c>
      <c r="F4" s="15">
        <v>0</v>
      </c>
      <c r="H4" s="172"/>
    </row>
    <row r="5" spans="1:26" ht="14.25" customHeight="1">
      <c r="A5" s="15" t="s">
        <v>11</v>
      </c>
      <c r="B5" s="172">
        <f t="shared" ref="B5:B8" si="0">SUM(C5:D5)</f>
        <v>8733</v>
      </c>
      <c r="C5" s="172">
        <v>4598</v>
      </c>
      <c r="D5" s="172">
        <v>4135</v>
      </c>
      <c r="E5" s="177">
        <v>22</v>
      </c>
      <c r="F5" s="156">
        <f t="shared" ref="F5:F9" si="1">C5*E5</f>
        <v>101156</v>
      </c>
      <c r="H5" s="172"/>
    </row>
    <row r="6" spans="1:26" ht="14.25" customHeight="1">
      <c r="A6" s="15" t="s">
        <v>12</v>
      </c>
      <c r="B6" s="172">
        <f t="shared" si="0"/>
        <v>14715</v>
      </c>
      <c r="C6" s="172">
        <v>7216</v>
      </c>
      <c r="D6" s="172">
        <v>7499</v>
      </c>
      <c r="E6" s="177">
        <v>15.56</v>
      </c>
      <c r="F6" s="156">
        <f t="shared" si="1"/>
        <v>112280.96000000001</v>
      </c>
      <c r="H6" s="172"/>
    </row>
    <row r="7" spans="1:26" ht="14.25" customHeight="1">
      <c r="A7" s="15" t="s">
        <v>13</v>
      </c>
      <c r="B7" s="172">
        <f t="shared" si="0"/>
        <v>15377</v>
      </c>
      <c r="C7" s="172">
        <v>8054</v>
      </c>
      <c r="D7" s="172">
        <v>7323</v>
      </c>
      <c r="E7" s="177">
        <v>15.56</v>
      </c>
      <c r="F7" s="156">
        <f t="shared" si="1"/>
        <v>125320.24</v>
      </c>
      <c r="H7" s="172"/>
    </row>
    <row r="8" spans="1:26" ht="14.25" customHeight="1">
      <c r="A8" s="15" t="s">
        <v>14</v>
      </c>
      <c r="B8" s="172">
        <f t="shared" si="0"/>
        <v>14436</v>
      </c>
      <c r="C8" s="172">
        <v>7717</v>
      </c>
      <c r="D8" s="172">
        <v>6719</v>
      </c>
      <c r="E8" s="177">
        <v>15.56</v>
      </c>
      <c r="F8" s="156">
        <f t="shared" si="1"/>
        <v>120076.52</v>
      </c>
      <c r="H8" s="172"/>
    </row>
    <row r="9" spans="1:26" ht="14.25" customHeight="1">
      <c r="A9" s="15" t="s">
        <v>15</v>
      </c>
      <c r="B9" s="172">
        <v>16277</v>
      </c>
      <c r="C9" s="172">
        <v>5464</v>
      </c>
      <c r="D9" s="172">
        <v>6311</v>
      </c>
      <c r="E9" s="173">
        <v>22</v>
      </c>
      <c r="F9" s="156">
        <f t="shared" si="1"/>
        <v>120208</v>
      </c>
    </row>
    <row r="10" spans="1:26" ht="14.25" customHeight="1"/>
    <row r="11" spans="1:26" ht="14.25" customHeight="1">
      <c r="B11" s="15" t="s">
        <v>437</v>
      </c>
    </row>
    <row r="12" spans="1:26" ht="14.25" customHeight="1"/>
    <row r="13" spans="1:26" ht="14.25" customHeight="1">
      <c r="I13" s="156"/>
    </row>
    <row r="14" spans="1:26" ht="14.25" customHeight="1">
      <c r="I14" s="156"/>
    </row>
    <row r="15" spans="1:26" ht="14.25" customHeight="1">
      <c r="I15" s="156"/>
    </row>
    <row r="16" spans="1:26" ht="14.25" customHeight="1">
      <c r="I16" s="156"/>
    </row>
    <row r="17" spans="9:9" ht="14.25" customHeight="1">
      <c r="I17" s="156"/>
    </row>
    <row r="18" spans="9:9" ht="14.25" customHeight="1"/>
    <row r="19" spans="9:9" ht="14.25" customHeight="1"/>
    <row r="20" spans="9:9" ht="14.25" customHeight="1"/>
    <row r="21" spans="9:9" ht="14.25" customHeight="1"/>
    <row r="22" spans="9:9" ht="14.25" customHeight="1"/>
    <row r="23" spans="9:9" ht="14.25" customHeight="1"/>
    <row r="24" spans="9:9" ht="14.25" customHeight="1"/>
    <row r="25" spans="9:9" ht="14.25" customHeight="1"/>
    <row r="26" spans="9:9" ht="14.25" customHeight="1"/>
    <row r="27" spans="9:9" ht="14.25" customHeight="1"/>
    <row r="28" spans="9:9" ht="14.25" customHeight="1"/>
    <row r="29" spans="9:9" ht="14.25" customHeight="1"/>
    <row r="30" spans="9:9" ht="14.25" customHeight="1"/>
    <row r="31" spans="9:9" ht="14.25" customHeight="1"/>
    <row r="32" spans="9: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999"/>
  <sheetViews>
    <sheetView tabSelected="1" topLeftCell="B16" workbookViewId="0">
      <selection sqref="A1:XFD1"/>
    </sheetView>
  </sheetViews>
  <sheetFormatPr defaultColWidth="14.453125" defaultRowHeight="15" customHeight="1"/>
  <cols>
    <col min="1" max="1" width="13.26953125" customWidth="1"/>
    <col min="2" max="2" width="9.54296875" customWidth="1"/>
    <col min="3" max="3" width="18" customWidth="1"/>
    <col min="4" max="4" width="8.7265625" customWidth="1"/>
    <col min="5" max="5" width="11.26953125" customWidth="1"/>
    <col min="6" max="6" width="2.54296875" customWidth="1"/>
    <col min="7" max="7" width="9.26953125" customWidth="1"/>
    <col min="8" max="8" width="5.08984375" customWidth="1"/>
    <col min="9" max="9" width="8.7265625" customWidth="1"/>
    <col min="10" max="10" width="6" customWidth="1"/>
    <col min="11" max="11" width="7.7265625" customWidth="1"/>
    <col min="12" max="12" width="9.453125" customWidth="1"/>
    <col min="13" max="13" width="9.26953125" customWidth="1"/>
    <col min="14" max="14" width="6.453125" customWidth="1"/>
    <col min="15" max="15" width="6.7265625" customWidth="1"/>
    <col min="16" max="16" width="11.08984375" customWidth="1"/>
    <col min="17" max="17" width="10.08984375" customWidth="1"/>
    <col min="18" max="18" width="9.453125" customWidth="1"/>
    <col min="19" max="19" width="10.08984375" customWidth="1"/>
    <col min="20" max="26" width="8.7265625" customWidth="1"/>
  </cols>
  <sheetData>
    <row r="1" spans="1:19" ht="14.25" customHeight="1">
      <c r="A1" s="178" t="s">
        <v>69</v>
      </c>
      <c r="B1" s="179"/>
      <c r="C1" s="179"/>
      <c r="D1" s="180"/>
      <c r="E1" s="181"/>
    </row>
    <row r="2" spans="1:19" ht="14.25" customHeight="1">
      <c r="A2" s="182"/>
      <c r="B2" s="3"/>
      <c r="C2" s="3"/>
      <c r="D2" s="3"/>
      <c r="E2" s="183"/>
    </row>
    <row r="3" spans="1:19" ht="14.25" customHeight="1">
      <c r="A3" s="184"/>
      <c r="B3" s="157" t="s">
        <v>448</v>
      </c>
      <c r="C3" s="157" t="s">
        <v>449</v>
      </c>
      <c r="D3" s="157" t="s">
        <v>450</v>
      </c>
      <c r="E3" s="185" t="s">
        <v>433</v>
      </c>
      <c r="H3" s="15" t="s">
        <v>437</v>
      </c>
    </row>
    <row r="4" spans="1:19" ht="14.25" customHeight="1">
      <c r="A4" s="182" t="s">
        <v>10</v>
      </c>
      <c r="B4" s="172">
        <v>973</v>
      </c>
      <c r="C4" s="156">
        <v>120834</v>
      </c>
      <c r="D4" s="177">
        <f t="shared" ref="D4:D9" si="0">C4/4000</f>
        <v>30.208500000000001</v>
      </c>
      <c r="E4" s="55">
        <f t="shared" ref="E4:E9" si="1">B4*D4</f>
        <v>29392.870500000001</v>
      </c>
    </row>
    <row r="5" spans="1:19" ht="14.25" customHeight="1">
      <c r="A5" s="182" t="s">
        <v>11</v>
      </c>
      <c r="B5" s="172">
        <v>1072</v>
      </c>
      <c r="C5" s="156">
        <v>126750</v>
      </c>
      <c r="D5" s="177">
        <f t="shared" si="0"/>
        <v>31.6875</v>
      </c>
      <c r="E5" s="55">
        <f t="shared" si="1"/>
        <v>33969</v>
      </c>
    </row>
    <row r="6" spans="1:19" ht="14.25" customHeight="1">
      <c r="A6" s="182" t="s">
        <v>12</v>
      </c>
      <c r="B6" s="172">
        <v>1296</v>
      </c>
      <c r="C6" s="156">
        <v>129510</v>
      </c>
      <c r="D6" s="177">
        <f t="shared" si="0"/>
        <v>32.377499999999998</v>
      </c>
      <c r="E6" s="55">
        <f t="shared" si="1"/>
        <v>41961.24</v>
      </c>
    </row>
    <row r="7" spans="1:19" ht="14.25" customHeight="1">
      <c r="A7" s="182" t="s">
        <v>13</v>
      </c>
      <c r="B7" s="172">
        <v>1478</v>
      </c>
      <c r="C7" s="156">
        <v>130605</v>
      </c>
      <c r="D7" s="177">
        <f t="shared" si="0"/>
        <v>32.651249999999997</v>
      </c>
      <c r="E7" s="55">
        <f t="shared" si="1"/>
        <v>48258.547499999993</v>
      </c>
    </row>
    <row r="8" spans="1:19" ht="14.25" customHeight="1">
      <c r="A8" s="182" t="s">
        <v>14</v>
      </c>
      <c r="B8" s="326">
        <v>1077</v>
      </c>
      <c r="C8" s="327">
        <v>133499</v>
      </c>
      <c r="D8" s="328">
        <f t="shared" si="0"/>
        <v>33.374749999999999</v>
      </c>
      <c r="E8" s="55">
        <f t="shared" si="1"/>
        <v>35944.605749999995</v>
      </c>
    </row>
    <row r="9" spans="1:19" ht="14.25" customHeight="1" thickBot="1">
      <c r="A9" s="329" t="s">
        <v>15</v>
      </c>
      <c r="B9" s="330">
        <v>789</v>
      </c>
      <c r="C9" s="331">
        <v>133574.6</v>
      </c>
      <c r="D9" s="332">
        <f t="shared" si="0"/>
        <v>33.393650000000001</v>
      </c>
      <c r="E9" s="333">
        <f t="shared" si="1"/>
        <v>26347.58985</v>
      </c>
    </row>
    <row r="10" spans="1:19" ht="14.25" customHeight="1" thickBot="1"/>
    <row r="11" spans="1:19" ht="14.25" customHeight="1">
      <c r="A11" s="178" t="s">
        <v>451</v>
      </c>
      <c r="B11" s="179"/>
      <c r="C11" s="180"/>
      <c r="D11" s="180"/>
      <c r="E11" s="181"/>
      <c r="G11" s="178" t="s">
        <v>452</v>
      </c>
      <c r="H11" s="180"/>
      <c r="I11" s="180"/>
      <c r="J11" s="180"/>
      <c r="K11" s="180"/>
      <c r="L11" s="180"/>
      <c r="M11" s="180"/>
      <c r="N11" s="180"/>
      <c r="O11" s="180"/>
      <c r="P11" s="180"/>
      <c r="Q11" s="180"/>
      <c r="R11" s="180"/>
      <c r="S11" s="181"/>
    </row>
    <row r="12" spans="1:19" ht="14.25" customHeight="1">
      <c r="A12" s="188"/>
      <c r="B12" s="14"/>
      <c r="C12" s="3"/>
      <c r="D12" s="3"/>
      <c r="E12" s="183"/>
      <c r="G12" s="182"/>
      <c r="H12" s="3"/>
      <c r="I12" s="3"/>
      <c r="J12" s="3"/>
      <c r="K12" s="3"/>
      <c r="L12" s="3"/>
      <c r="M12" s="3"/>
      <c r="N12" s="3"/>
      <c r="O12" s="3"/>
      <c r="P12" s="3"/>
      <c r="S12" s="183"/>
    </row>
    <row r="13" spans="1:19" ht="14.25" customHeight="1">
      <c r="A13" s="184"/>
      <c r="B13" s="157" t="s">
        <v>453</v>
      </c>
      <c r="C13" s="157" t="s">
        <v>449</v>
      </c>
      <c r="D13" s="157" t="s">
        <v>454</v>
      </c>
      <c r="E13" s="185" t="s">
        <v>455</v>
      </c>
      <c r="G13" s="189" t="s">
        <v>456</v>
      </c>
      <c r="H13" s="3" t="s">
        <v>457</v>
      </c>
      <c r="I13" s="3" t="s">
        <v>458</v>
      </c>
      <c r="J13" s="3" t="s">
        <v>459</v>
      </c>
      <c r="K13" s="3" t="s">
        <v>460</v>
      </c>
      <c r="L13" s="3" t="s">
        <v>461</v>
      </c>
      <c r="M13" s="3" t="s">
        <v>462</v>
      </c>
      <c r="N13" s="3" t="s">
        <v>463</v>
      </c>
      <c r="O13" s="3" t="s">
        <v>464</v>
      </c>
      <c r="P13" s="3" t="s">
        <v>465</v>
      </c>
      <c r="Q13" s="3" t="s">
        <v>466</v>
      </c>
      <c r="R13" s="3" t="s">
        <v>467</v>
      </c>
      <c r="S13" s="183" t="s">
        <v>433</v>
      </c>
    </row>
    <row r="14" spans="1:19" ht="14.25" customHeight="1">
      <c r="A14" s="182" t="s">
        <v>10</v>
      </c>
      <c r="B14" s="156">
        <f t="shared" ref="B14:B19" si="2">E14*D14</f>
        <v>9666.7200000000012</v>
      </c>
      <c r="C14" s="156">
        <v>120834</v>
      </c>
      <c r="D14" s="177">
        <f t="shared" ref="D14:D19" si="3">C14/2000*8</f>
        <v>483.33600000000001</v>
      </c>
      <c r="E14" s="190">
        <f t="shared" ref="E14:E19" si="4">S14</f>
        <v>20</v>
      </c>
      <c r="G14" s="182">
        <v>20</v>
      </c>
      <c r="H14" s="3"/>
      <c r="I14" s="3"/>
      <c r="J14" s="3"/>
      <c r="K14" s="3"/>
      <c r="L14" s="3"/>
      <c r="M14" s="3"/>
      <c r="N14" s="3"/>
      <c r="O14" s="3"/>
      <c r="P14" s="3"/>
      <c r="S14" s="183">
        <f t="shared" ref="S14:S15" si="5">SUM(G14:R14)</f>
        <v>20</v>
      </c>
    </row>
    <row r="15" spans="1:19" ht="14.25" customHeight="1">
      <c r="A15" s="182" t="s">
        <v>11</v>
      </c>
      <c r="B15" s="156">
        <f t="shared" si="2"/>
        <v>65910</v>
      </c>
      <c r="C15" s="156">
        <v>126750</v>
      </c>
      <c r="D15" s="177">
        <f t="shared" si="3"/>
        <v>507</v>
      </c>
      <c r="E15" s="190">
        <f t="shared" si="4"/>
        <v>130</v>
      </c>
      <c r="G15" s="182"/>
      <c r="H15" s="3">
        <v>90</v>
      </c>
      <c r="I15" s="3">
        <v>40</v>
      </c>
      <c r="J15" s="3"/>
      <c r="K15" s="3"/>
      <c r="L15" s="3"/>
      <c r="M15" s="3"/>
      <c r="N15" s="3"/>
      <c r="O15" s="3"/>
      <c r="P15" s="3"/>
      <c r="S15" s="183">
        <f t="shared" si="5"/>
        <v>130</v>
      </c>
    </row>
    <row r="16" spans="1:19" ht="14.25" customHeight="1">
      <c r="A16" s="182" t="s">
        <v>12</v>
      </c>
      <c r="B16" s="156">
        <f t="shared" si="2"/>
        <v>20721.599999999999</v>
      </c>
      <c r="C16" s="156">
        <v>129510</v>
      </c>
      <c r="D16" s="177">
        <f t="shared" si="3"/>
        <v>518.04</v>
      </c>
      <c r="E16" s="190">
        <f t="shared" si="4"/>
        <v>40</v>
      </c>
      <c r="G16" s="182"/>
      <c r="H16" s="3"/>
      <c r="I16" s="3"/>
      <c r="J16" s="3"/>
      <c r="K16" s="3">
        <v>20</v>
      </c>
      <c r="L16" s="3">
        <v>20</v>
      </c>
      <c r="M16" s="3"/>
      <c r="N16" s="3"/>
      <c r="O16" s="3"/>
      <c r="P16" s="3"/>
      <c r="S16" s="183">
        <f t="shared" ref="S16:S17" si="6">SUM(G16:P16)</f>
        <v>40</v>
      </c>
    </row>
    <row r="17" spans="1:19" ht="14.25" customHeight="1">
      <c r="A17" s="182" t="s">
        <v>13</v>
      </c>
      <c r="B17" s="156">
        <f t="shared" si="2"/>
        <v>113626.34999999999</v>
      </c>
      <c r="C17" s="156">
        <v>130605</v>
      </c>
      <c r="D17" s="177">
        <f t="shared" si="3"/>
        <v>522.41999999999996</v>
      </c>
      <c r="E17" s="190">
        <f t="shared" si="4"/>
        <v>217.5</v>
      </c>
      <c r="G17" s="182"/>
      <c r="H17" s="3">
        <v>120</v>
      </c>
      <c r="I17" s="3">
        <v>40</v>
      </c>
      <c r="J17" s="3"/>
      <c r="K17" s="3"/>
      <c r="L17" s="3"/>
      <c r="M17" s="3">
        <f>20+25</f>
        <v>45</v>
      </c>
      <c r="N17" s="3"/>
      <c r="O17" s="3"/>
      <c r="P17" s="3">
        <v>12.5</v>
      </c>
      <c r="S17" s="183">
        <f t="shared" si="6"/>
        <v>217.5</v>
      </c>
    </row>
    <row r="18" spans="1:19" ht="14.25" customHeight="1">
      <c r="A18" s="182" t="s">
        <v>14</v>
      </c>
      <c r="B18" s="156">
        <f t="shared" si="2"/>
        <v>68351.487999999998</v>
      </c>
      <c r="C18" s="156">
        <v>133499</v>
      </c>
      <c r="D18" s="177">
        <f t="shared" si="3"/>
        <v>533.99599999999998</v>
      </c>
      <c r="E18" s="190">
        <f t="shared" si="4"/>
        <v>128</v>
      </c>
      <c r="G18" s="182">
        <v>8</v>
      </c>
      <c r="H18" s="3"/>
      <c r="I18" s="3">
        <v>40</v>
      </c>
      <c r="J18" s="3"/>
      <c r="K18" s="3"/>
      <c r="L18" s="3"/>
      <c r="M18" s="3">
        <v>25</v>
      </c>
      <c r="N18" s="3"/>
      <c r="O18" s="3">
        <f>30+20</f>
        <v>50</v>
      </c>
      <c r="P18" s="3">
        <v>5</v>
      </c>
      <c r="S18" s="183">
        <f t="shared" ref="S18:S19" si="7">SUM(G18:R18)</f>
        <v>128</v>
      </c>
    </row>
    <row r="19" spans="1:19" ht="14.25" customHeight="1">
      <c r="A19" s="182" t="s">
        <v>15</v>
      </c>
      <c r="B19" s="156">
        <f t="shared" si="2"/>
        <v>20262.75</v>
      </c>
      <c r="C19" s="156">
        <v>135085</v>
      </c>
      <c r="D19" s="177">
        <f t="shared" si="3"/>
        <v>540.34</v>
      </c>
      <c r="E19" s="191">
        <f t="shared" si="4"/>
        <v>37.5</v>
      </c>
      <c r="G19" s="182"/>
      <c r="H19" s="3"/>
      <c r="I19" s="3"/>
      <c r="J19" s="3"/>
      <c r="K19" s="3"/>
      <c r="L19" s="3"/>
      <c r="M19" s="3"/>
      <c r="N19" s="3"/>
      <c r="O19" s="3"/>
      <c r="P19" s="3"/>
      <c r="Q19" s="15">
        <v>25</v>
      </c>
      <c r="R19" s="15">
        <v>12.5</v>
      </c>
      <c r="S19" s="183">
        <f t="shared" si="7"/>
        <v>37.5</v>
      </c>
    </row>
    <row r="20" spans="1:19" ht="14.25" customHeight="1">
      <c r="E20" s="183"/>
      <c r="G20" s="182"/>
      <c r="S20" s="183"/>
    </row>
    <row r="21" spans="1:19" ht="14.25" customHeight="1">
      <c r="A21" s="184"/>
      <c r="B21" s="157" t="s">
        <v>468</v>
      </c>
      <c r="C21" s="157"/>
      <c r="D21" s="157"/>
      <c r="E21" s="192"/>
      <c r="G21" s="189" t="s">
        <v>456</v>
      </c>
      <c r="H21" s="3" t="s">
        <v>457</v>
      </c>
      <c r="I21" s="3" t="s">
        <v>458</v>
      </c>
      <c r="J21" s="3" t="s">
        <v>459</v>
      </c>
      <c r="K21" s="3" t="s">
        <v>460</v>
      </c>
      <c r="L21" s="3" t="s">
        <v>461</v>
      </c>
      <c r="M21" s="3" t="s">
        <v>462</v>
      </c>
      <c r="N21" s="3" t="s">
        <v>463</v>
      </c>
      <c r="O21" s="3" t="s">
        <v>464</v>
      </c>
      <c r="P21" s="3" t="s">
        <v>465</v>
      </c>
      <c r="Q21" s="3" t="s">
        <v>466</v>
      </c>
      <c r="R21" s="3" t="s">
        <v>467</v>
      </c>
      <c r="S21" s="183" t="s">
        <v>433</v>
      </c>
    </row>
    <row r="22" spans="1:19" ht="14.25" customHeight="1">
      <c r="A22" s="182" t="s">
        <v>10</v>
      </c>
      <c r="B22" s="156">
        <f t="shared" ref="B22:B27" si="8">S22</f>
        <v>30000</v>
      </c>
      <c r="C22" s="156"/>
      <c r="D22" s="177"/>
      <c r="E22" s="55"/>
      <c r="G22" s="193">
        <v>30000</v>
      </c>
      <c r="H22" s="194"/>
      <c r="I22" s="194"/>
      <c r="J22" s="194"/>
      <c r="K22" s="194"/>
      <c r="L22" s="194"/>
      <c r="M22" s="194"/>
      <c r="N22" s="194"/>
      <c r="O22" s="194"/>
      <c r="P22" s="194"/>
      <c r="S22" s="195">
        <f t="shared" ref="S22:S27" si="9">SUM(G22:R22)</f>
        <v>30000</v>
      </c>
    </row>
    <row r="23" spans="1:19" ht="14.25" customHeight="1">
      <c r="A23" s="182" t="s">
        <v>11</v>
      </c>
      <c r="B23" s="156">
        <f t="shared" si="8"/>
        <v>50000</v>
      </c>
      <c r="C23" s="156"/>
      <c r="D23" s="177"/>
      <c r="E23" s="55"/>
      <c r="G23" s="193">
        <v>30000</v>
      </c>
      <c r="H23" s="194"/>
      <c r="I23" s="194">
        <v>20000</v>
      </c>
      <c r="J23" s="194"/>
      <c r="K23" s="194"/>
      <c r="L23" s="194"/>
      <c r="M23" s="194"/>
      <c r="N23" s="194"/>
      <c r="O23" s="194"/>
      <c r="P23" s="194"/>
      <c r="S23" s="195">
        <f t="shared" si="9"/>
        <v>50000</v>
      </c>
    </row>
    <row r="24" spans="1:19" ht="14.25" customHeight="1">
      <c r="A24" s="182" t="s">
        <v>12</v>
      </c>
      <c r="B24" s="156">
        <f t="shared" si="8"/>
        <v>100000</v>
      </c>
      <c r="C24" s="156"/>
      <c r="D24" s="177"/>
      <c r="E24" s="55"/>
      <c r="G24" s="193">
        <v>30000</v>
      </c>
      <c r="H24" s="194"/>
      <c r="I24" s="194">
        <v>20000</v>
      </c>
      <c r="J24" s="194"/>
      <c r="K24" s="194"/>
      <c r="L24" s="194">
        <v>50000</v>
      </c>
      <c r="M24" s="194"/>
      <c r="N24" s="194"/>
      <c r="O24" s="194"/>
      <c r="P24" s="194"/>
      <c r="S24" s="195">
        <f t="shared" si="9"/>
        <v>100000</v>
      </c>
    </row>
    <row r="25" spans="1:19" ht="14.25" customHeight="1">
      <c r="A25" s="182" t="s">
        <v>13</v>
      </c>
      <c r="B25" s="156">
        <f t="shared" si="8"/>
        <v>123000</v>
      </c>
      <c r="C25" s="156"/>
      <c r="D25" s="177"/>
      <c r="E25" s="55"/>
      <c r="G25" s="193">
        <v>30000</v>
      </c>
      <c r="H25" s="194"/>
      <c r="I25" s="194">
        <v>20000</v>
      </c>
      <c r="J25" s="194"/>
      <c r="K25" s="194"/>
      <c r="L25" s="194">
        <f t="shared" ref="L25:L26" si="10">50000+13000</f>
        <v>63000</v>
      </c>
      <c r="M25" s="194">
        <v>10000</v>
      </c>
      <c r="N25" s="194"/>
      <c r="O25" s="194"/>
      <c r="P25" s="194"/>
      <c r="S25" s="195">
        <f t="shared" si="9"/>
        <v>123000</v>
      </c>
    </row>
    <row r="26" spans="1:19" ht="14.25" customHeight="1">
      <c r="A26" s="182" t="s">
        <v>14</v>
      </c>
      <c r="B26" s="156">
        <f t="shared" si="8"/>
        <v>123000</v>
      </c>
      <c r="C26" s="156"/>
      <c r="D26" s="177"/>
      <c r="E26" s="55"/>
      <c r="G26" s="193">
        <v>30000</v>
      </c>
      <c r="H26" s="194"/>
      <c r="I26" s="194">
        <v>20000</v>
      </c>
      <c r="J26" s="194"/>
      <c r="K26" s="194"/>
      <c r="L26" s="194">
        <f t="shared" si="10"/>
        <v>63000</v>
      </c>
      <c r="M26" s="194">
        <v>10000</v>
      </c>
      <c r="N26" s="194"/>
      <c r="O26" s="194"/>
      <c r="P26" s="194"/>
      <c r="R26" s="3"/>
      <c r="S26" s="195">
        <f t="shared" si="9"/>
        <v>123000</v>
      </c>
    </row>
    <row r="27" spans="1:19" ht="14.25" customHeight="1">
      <c r="A27" s="182" t="s">
        <v>15</v>
      </c>
      <c r="B27" s="156">
        <f t="shared" si="8"/>
        <v>115000</v>
      </c>
      <c r="C27" s="156"/>
      <c r="D27" s="177"/>
      <c r="E27" s="55"/>
      <c r="G27" s="196">
        <v>30000</v>
      </c>
      <c r="H27" s="197"/>
      <c r="I27" s="197">
        <v>20000</v>
      </c>
      <c r="J27" s="197"/>
      <c r="K27" s="197"/>
      <c r="L27" s="197">
        <f>50000</f>
        <v>50000</v>
      </c>
      <c r="M27" s="197">
        <v>10000</v>
      </c>
      <c r="N27" s="197"/>
      <c r="O27" s="197"/>
      <c r="P27" s="197"/>
      <c r="Q27" s="198">
        <v>5000</v>
      </c>
      <c r="R27" s="199"/>
      <c r="S27" s="200">
        <f t="shared" si="9"/>
        <v>115000</v>
      </c>
    </row>
    <row r="28" spans="1:19" ht="14.25" customHeight="1">
      <c r="A28" s="182"/>
      <c r="B28" s="3"/>
      <c r="C28" s="3"/>
      <c r="D28" s="3"/>
      <c r="E28" s="183"/>
    </row>
    <row r="29" spans="1:19" ht="14.25" customHeight="1">
      <c r="A29" s="182"/>
      <c r="B29" s="201" t="s">
        <v>469</v>
      </c>
      <c r="C29" s="3"/>
      <c r="D29" s="3"/>
      <c r="E29" s="183"/>
    </row>
    <row r="30" spans="1:19" ht="14.25" customHeight="1">
      <c r="A30" s="182" t="s">
        <v>10</v>
      </c>
      <c r="B30" s="156">
        <f t="shared" ref="B30:B35" si="11">B14+B22</f>
        <v>39666.720000000001</v>
      </c>
      <c r="C30" s="3"/>
      <c r="D30" s="3"/>
      <c r="E30" s="183"/>
    </row>
    <row r="31" spans="1:19" ht="14.25" customHeight="1">
      <c r="A31" s="182" t="s">
        <v>11</v>
      </c>
      <c r="B31" s="156">
        <f t="shared" si="11"/>
        <v>115910</v>
      </c>
      <c r="C31" s="3"/>
      <c r="D31" s="3"/>
      <c r="E31" s="183"/>
    </row>
    <row r="32" spans="1:19" ht="14.25" customHeight="1">
      <c r="A32" s="182" t="s">
        <v>12</v>
      </c>
      <c r="B32" s="156">
        <f t="shared" si="11"/>
        <v>120721.60000000001</v>
      </c>
      <c r="C32" s="3"/>
      <c r="D32" s="3"/>
      <c r="E32" s="183"/>
    </row>
    <row r="33" spans="1:5" ht="14.25" customHeight="1">
      <c r="A33" s="182" t="s">
        <v>13</v>
      </c>
      <c r="B33" s="156">
        <f t="shared" si="11"/>
        <v>236626.34999999998</v>
      </c>
      <c r="C33" s="3"/>
      <c r="D33" s="3"/>
      <c r="E33" s="183"/>
    </row>
    <row r="34" spans="1:5" ht="14.25" customHeight="1">
      <c r="A34" s="182" t="s">
        <v>14</v>
      </c>
      <c r="B34" s="156">
        <f t="shared" si="11"/>
        <v>191351.48800000001</v>
      </c>
      <c r="C34" s="3"/>
      <c r="D34" s="3"/>
      <c r="E34" s="183"/>
    </row>
    <row r="35" spans="1:5" ht="14.25" customHeight="1">
      <c r="A35" s="186" t="s">
        <v>15</v>
      </c>
      <c r="B35" s="187">
        <f t="shared" si="11"/>
        <v>135262.75</v>
      </c>
      <c r="C35" s="199"/>
      <c r="D35" s="199"/>
      <c r="E35" s="202"/>
    </row>
    <row r="36" spans="1:5" ht="14.25" customHeight="1"/>
    <row r="37" spans="1:5" ht="14.25" customHeight="1"/>
    <row r="38" spans="1:5" ht="14.25" customHeight="1"/>
    <row r="39" spans="1:5" ht="14.25" customHeight="1"/>
    <row r="40" spans="1:5" ht="14.25" customHeight="1"/>
    <row r="41" spans="1:5" ht="14.25" customHeight="1"/>
    <row r="42" spans="1:5" ht="14.25" customHeight="1"/>
    <row r="43" spans="1:5" ht="14.25" customHeight="1"/>
    <row r="44" spans="1:5" ht="14.25" customHeight="1"/>
    <row r="45" spans="1:5" ht="14.25" customHeight="1"/>
    <row r="46" spans="1:5" ht="14.25" customHeight="1"/>
    <row r="47" spans="1:5" ht="14.25" customHeight="1"/>
    <row r="48" spans="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pageMargins left="0.25" right="0.2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14.453125" defaultRowHeight="15" customHeight="1"/>
  <cols>
    <col min="1" max="1" width="28.7265625" customWidth="1"/>
    <col min="2" max="2" width="41.7265625" customWidth="1"/>
    <col min="3" max="3" width="8.7265625" customWidth="1"/>
    <col min="4" max="4" width="14.26953125" customWidth="1"/>
    <col min="5" max="6" width="12.7265625" customWidth="1"/>
    <col min="7" max="7" width="12.26953125" customWidth="1"/>
    <col min="8" max="26" width="8.7265625" customWidth="1"/>
  </cols>
  <sheetData>
    <row r="1" spans="1:26" ht="36.75" customHeight="1">
      <c r="A1" s="203"/>
      <c r="B1" s="324" t="s">
        <v>470</v>
      </c>
      <c r="C1" s="325"/>
      <c r="D1" s="325"/>
      <c r="E1" s="325"/>
      <c r="F1" s="325"/>
      <c r="G1" s="203"/>
      <c r="H1" s="203"/>
      <c r="I1" s="203"/>
      <c r="J1" s="203"/>
      <c r="K1" s="203"/>
      <c r="L1" s="203"/>
      <c r="M1" s="203"/>
      <c r="N1" s="203"/>
      <c r="O1" s="203"/>
      <c r="P1" s="203"/>
      <c r="Q1" s="203"/>
      <c r="R1" s="203"/>
      <c r="S1" s="203"/>
      <c r="T1" s="203"/>
      <c r="U1" s="203"/>
      <c r="V1" s="203"/>
      <c r="W1" s="203"/>
      <c r="X1" s="203"/>
      <c r="Y1" s="203"/>
      <c r="Z1" s="203"/>
    </row>
    <row r="2" spans="1:26" ht="14.25" customHeight="1">
      <c r="A2" s="3"/>
      <c r="B2" s="3"/>
      <c r="C2" s="3"/>
      <c r="D2" s="3"/>
      <c r="E2" s="3"/>
      <c r="F2" s="3"/>
      <c r="G2" s="3"/>
    </row>
    <row r="3" spans="1:26" ht="14.25" customHeight="1">
      <c r="A3" s="204" t="s">
        <v>471</v>
      </c>
      <c r="B3" s="205" t="s">
        <v>76</v>
      </c>
      <c r="C3" s="206" t="s">
        <v>472</v>
      </c>
      <c r="D3" s="207" t="s">
        <v>473</v>
      </c>
      <c r="E3" s="207" t="s">
        <v>474</v>
      </c>
      <c r="F3" s="207" t="s">
        <v>475</v>
      </c>
      <c r="G3" s="4"/>
    </row>
    <row r="4" spans="1:26" ht="14.25" customHeight="1">
      <c r="A4" s="204" t="s">
        <v>476</v>
      </c>
      <c r="B4" s="208" t="s">
        <v>477</v>
      </c>
      <c r="C4" s="209">
        <v>2.15</v>
      </c>
      <c r="D4" s="210">
        <v>430000</v>
      </c>
      <c r="E4" s="210">
        <v>20000</v>
      </c>
      <c r="F4" s="211">
        <f t="shared" ref="F4:F15" si="0">SUM(D4:E4)</f>
        <v>450000</v>
      </c>
      <c r="G4" s="4"/>
    </row>
    <row r="5" spans="1:26" ht="14.25" customHeight="1">
      <c r="A5" s="204" t="s">
        <v>478</v>
      </c>
      <c r="B5" s="212" t="s">
        <v>479</v>
      </c>
      <c r="C5" s="209">
        <v>2.8499999999999996</v>
      </c>
      <c r="D5" s="210">
        <v>570000</v>
      </c>
      <c r="E5" s="210">
        <v>0</v>
      </c>
      <c r="F5" s="211">
        <f t="shared" si="0"/>
        <v>570000</v>
      </c>
      <c r="G5" s="4"/>
    </row>
    <row r="6" spans="1:26" ht="14.25" customHeight="1">
      <c r="A6" s="204" t="s">
        <v>480</v>
      </c>
      <c r="B6" s="212" t="s">
        <v>481</v>
      </c>
      <c r="C6" s="213">
        <v>19.990500000000001</v>
      </c>
      <c r="D6" s="211">
        <v>3621000</v>
      </c>
      <c r="E6" s="211">
        <v>309000</v>
      </c>
      <c r="F6" s="211">
        <f t="shared" si="0"/>
        <v>3930000</v>
      </c>
      <c r="G6" s="4"/>
    </row>
    <row r="7" spans="1:26" ht="14.25" customHeight="1">
      <c r="A7" s="204" t="s">
        <v>482</v>
      </c>
      <c r="B7" s="212" t="s">
        <v>483</v>
      </c>
      <c r="C7" s="209">
        <v>1.3069999999999999</v>
      </c>
      <c r="D7" s="210">
        <v>261000</v>
      </c>
      <c r="E7" s="210">
        <v>50000</v>
      </c>
      <c r="F7" s="211">
        <f t="shared" si="0"/>
        <v>311000</v>
      </c>
      <c r="G7" s="4"/>
    </row>
    <row r="8" spans="1:26" ht="14.25" customHeight="1">
      <c r="A8" s="204" t="s">
        <v>484</v>
      </c>
      <c r="B8" s="212" t="s">
        <v>485</v>
      </c>
      <c r="C8" s="209">
        <v>6.66</v>
      </c>
      <c r="D8" s="210">
        <v>1332000</v>
      </c>
      <c r="E8" s="210">
        <v>140000</v>
      </c>
      <c r="F8" s="211">
        <f t="shared" si="0"/>
        <v>1472000</v>
      </c>
      <c r="G8" s="4"/>
    </row>
    <row r="9" spans="1:26" ht="14.25" customHeight="1">
      <c r="A9" s="204" t="s">
        <v>486</v>
      </c>
      <c r="B9" s="212" t="s">
        <v>487</v>
      </c>
      <c r="C9" s="209">
        <v>4.5</v>
      </c>
      <c r="D9" s="210">
        <v>900000</v>
      </c>
      <c r="E9" s="210">
        <v>0</v>
      </c>
      <c r="F9" s="211">
        <f t="shared" si="0"/>
        <v>900000</v>
      </c>
      <c r="G9" s="204"/>
      <c r="H9" s="83"/>
      <c r="I9" s="83"/>
      <c r="J9" s="83"/>
      <c r="K9" s="83"/>
      <c r="L9" s="83"/>
      <c r="M9" s="83"/>
      <c r="N9" s="83"/>
      <c r="O9" s="83"/>
      <c r="P9" s="83"/>
      <c r="Q9" s="83"/>
      <c r="R9" s="83"/>
      <c r="S9" s="83"/>
      <c r="T9" s="83"/>
      <c r="U9" s="83"/>
      <c r="V9" s="83"/>
      <c r="W9" s="83"/>
      <c r="X9" s="83"/>
      <c r="Y9" s="83"/>
      <c r="Z9" s="83"/>
    </row>
    <row r="10" spans="1:26" ht="14.25" customHeight="1">
      <c r="A10" s="204" t="s">
        <v>488</v>
      </c>
      <c r="B10" s="212" t="s">
        <v>489</v>
      </c>
      <c r="C10" s="209">
        <v>6.36</v>
      </c>
      <c r="D10" s="210">
        <v>1272000</v>
      </c>
      <c r="E10" s="210">
        <v>0</v>
      </c>
      <c r="F10" s="211">
        <f t="shared" si="0"/>
        <v>1272000</v>
      </c>
      <c r="G10" s="4"/>
    </row>
    <row r="11" spans="1:26" ht="14.25" customHeight="1">
      <c r="A11" s="204" t="s">
        <v>490</v>
      </c>
      <c r="B11" s="212" t="s">
        <v>491</v>
      </c>
      <c r="C11" s="214">
        <v>6.51</v>
      </c>
      <c r="D11" s="215">
        <v>1302525</v>
      </c>
      <c r="E11" s="215">
        <v>122531</v>
      </c>
      <c r="F11" s="211">
        <f t="shared" si="0"/>
        <v>1425056</v>
      </c>
      <c r="G11" s="4"/>
    </row>
    <row r="12" spans="1:26" ht="14.25" customHeight="1">
      <c r="A12" s="204" t="s">
        <v>492</v>
      </c>
      <c r="B12" s="212" t="s">
        <v>493</v>
      </c>
      <c r="C12" s="214">
        <v>9.5299999999999994</v>
      </c>
      <c r="D12" s="215">
        <v>1907125</v>
      </c>
      <c r="E12" s="215">
        <v>348750</v>
      </c>
      <c r="F12" s="211">
        <f t="shared" si="0"/>
        <v>2255875</v>
      </c>
      <c r="G12" s="4"/>
    </row>
    <row r="13" spans="1:26" ht="14.25" customHeight="1">
      <c r="A13" s="204"/>
      <c r="B13" s="212" t="s">
        <v>494</v>
      </c>
      <c r="C13" s="216"/>
      <c r="D13" s="217"/>
      <c r="E13" s="204"/>
      <c r="F13" s="211">
        <f t="shared" si="0"/>
        <v>0</v>
      </c>
      <c r="G13" s="4"/>
    </row>
    <row r="14" spans="1:26" ht="14.25" customHeight="1">
      <c r="A14" s="204" t="s">
        <v>495</v>
      </c>
      <c r="B14" s="212" t="s">
        <v>496</v>
      </c>
      <c r="C14" s="213">
        <v>17.83408</v>
      </c>
      <c r="D14" s="211">
        <v>3567000</v>
      </c>
      <c r="E14" s="211">
        <v>18000</v>
      </c>
      <c r="F14" s="211">
        <f t="shared" si="0"/>
        <v>3585000</v>
      </c>
      <c r="G14" s="4"/>
    </row>
    <row r="15" spans="1:26" ht="14.25" customHeight="1">
      <c r="A15" s="204" t="s">
        <v>497</v>
      </c>
      <c r="B15" s="218" t="s">
        <v>498</v>
      </c>
      <c r="C15" s="209">
        <v>35.708749999999995</v>
      </c>
      <c r="D15" s="210">
        <v>7142000</v>
      </c>
      <c r="E15" s="210">
        <v>250000</v>
      </c>
      <c r="F15" s="211">
        <f t="shared" si="0"/>
        <v>7392000</v>
      </c>
      <c r="G15" s="4"/>
    </row>
    <row r="16" spans="1:26" ht="14.25" customHeight="1">
      <c r="A16" s="204"/>
      <c r="B16" s="219" t="s">
        <v>499</v>
      </c>
      <c r="C16" s="220">
        <f t="shared" ref="C16:F16" si="1">SUM(C4:C15)</f>
        <v>113.40032999999998</v>
      </c>
      <c r="D16" s="221">
        <f t="shared" si="1"/>
        <v>22304650</v>
      </c>
      <c r="E16" s="221">
        <f t="shared" si="1"/>
        <v>1258281</v>
      </c>
      <c r="F16" s="221">
        <f t="shared" si="1"/>
        <v>23562931</v>
      </c>
      <c r="G16" s="4"/>
    </row>
    <row r="17" spans="1:7" ht="14.25" customHeight="1">
      <c r="A17" s="4"/>
      <c r="B17" s="4"/>
      <c r="C17" s="4"/>
      <c r="D17" s="4"/>
      <c r="E17" s="4"/>
      <c r="F17" s="4"/>
      <c r="G17" s="4"/>
    </row>
    <row r="18" spans="1:7" ht="14.25" customHeight="1">
      <c r="A18" s="204" t="s">
        <v>471</v>
      </c>
      <c r="B18" s="205" t="s">
        <v>127</v>
      </c>
      <c r="C18" s="206" t="s">
        <v>472</v>
      </c>
      <c r="D18" s="207" t="s">
        <v>473</v>
      </c>
      <c r="E18" s="207" t="s">
        <v>474</v>
      </c>
      <c r="F18" s="207" t="s">
        <v>475</v>
      </c>
      <c r="G18" s="4"/>
    </row>
    <row r="19" spans="1:7" ht="14.25" customHeight="1">
      <c r="A19" s="204" t="s">
        <v>476</v>
      </c>
      <c r="B19" s="208" t="s">
        <v>477</v>
      </c>
      <c r="C19" s="209">
        <v>2.15</v>
      </c>
      <c r="D19" s="210">
        <v>430000</v>
      </c>
      <c r="E19" s="210">
        <v>20000</v>
      </c>
      <c r="F19" s="211">
        <f t="shared" ref="F19:F30" si="2">SUM(D19:E19)</f>
        <v>450000</v>
      </c>
      <c r="G19" s="4"/>
    </row>
    <row r="20" spans="1:7" ht="14.25" customHeight="1">
      <c r="A20" s="204" t="s">
        <v>478</v>
      </c>
      <c r="B20" s="212" t="s">
        <v>479</v>
      </c>
      <c r="C20" s="209">
        <v>2.8499999999999996</v>
      </c>
      <c r="D20" s="210">
        <v>570000</v>
      </c>
      <c r="E20" s="210">
        <v>0</v>
      </c>
      <c r="F20" s="211">
        <f t="shared" si="2"/>
        <v>570000</v>
      </c>
      <c r="G20" s="4"/>
    </row>
    <row r="21" spans="1:7" ht="14.25" customHeight="1">
      <c r="A21" s="204" t="s">
        <v>480</v>
      </c>
      <c r="B21" s="212" t="s">
        <v>481</v>
      </c>
      <c r="C21" s="213">
        <v>18.395</v>
      </c>
      <c r="D21" s="211">
        <v>3679000</v>
      </c>
      <c r="E21" s="211">
        <v>309000</v>
      </c>
      <c r="F21" s="211">
        <f t="shared" si="2"/>
        <v>3988000</v>
      </c>
      <c r="G21" s="4"/>
    </row>
    <row r="22" spans="1:7" ht="14.25" customHeight="1">
      <c r="A22" s="204" t="s">
        <v>482</v>
      </c>
      <c r="B22" s="212" t="s">
        <v>483</v>
      </c>
      <c r="C22" s="209">
        <v>1.3069999999999999</v>
      </c>
      <c r="D22" s="210">
        <v>261000</v>
      </c>
      <c r="E22" s="210">
        <v>50000</v>
      </c>
      <c r="F22" s="211">
        <f t="shared" si="2"/>
        <v>311000</v>
      </c>
      <c r="G22" s="4"/>
    </row>
    <row r="23" spans="1:7" ht="14.25" customHeight="1">
      <c r="A23" s="204" t="s">
        <v>484</v>
      </c>
      <c r="B23" s="212" t="s">
        <v>485</v>
      </c>
      <c r="C23" s="209">
        <v>7.1195161290322586</v>
      </c>
      <c r="D23" s="210">
        <v>1423903.2258064516</v>
      </c>
      <c r="E23" s="210">
        <v>100000</v>
      </c>
      <c r="F23" s="211">
        <f t="shared" si="2"/>
        <v>1523903.2258064516</v>
      </c>
      <c r="G23" s="4"/>
    </row>
    <row r="24" spans="1:7" ht="14.25" customHeight="1">
      <c r="A24" s="204" t="s">
        <v>486</v>
      </c>
      <c r="B24" s="212" t="s">
        <v>487</v>
      </c>
      <c r="C24" s="209">
        <v>4.8104838709677411</v>
      </c>
      <c r="D24" s="210">
        <v>962096.77419354836</v>
      </c>
      <c r="E24" s="210">
        <v>0</v>
      </c>
      <c r="F24" s="211">
        <f t="shared" si="2"/>
        <v>962096.77419354836</v>
      </c>
      <c r="G24" s="4"/>
    </row>
    <row r="25" spans="1:7" ht="14.25" customHeight="1">
      <c r="A25" s="204" t="s">
        <v>488</v>
      </c>
      <c r="B25" s="212" t="s">
        <v>500</v>
      </c>
      <c r="C25" s="209">
        <v>6</v>
      </c>
      <c r="D25" s="210">
        <v>1200000</v>
      </c>
      <c r="E25" s="210">
        <v>0</v>
      </c>
      <c r="F25" s="211">
        <f t="shared" si="2"/>
        <v>1200000</v>
      </c>
      <c r="G25" s="4"/>
    </row>
    <row r="26" spans="1:7" ht="14.25" customHeight="1">
      <c r="A26" s="204" t="s">
        <v>501</v>
      </c>
      <c r="B26" s="212" t="s">
        <v>491</v>
      </c>
      <c r="C26" s="214">
        <v>6.65</v>
      </c>
      <c r="D26" s="215">
        <v>1330000</v>
      </c>
      <c r="E26" s="215">
        <v>120000</v>
      </c>
      <c r="F26" s="211">
        <f t="shared" si="2"/>
        <v>1450000</v>
      </c>
      <c r="G26" s="4"/>
    </row>
    <row r="27" spans="1:7" ht="14.25" customHeight="1">
      <c r="A27" s="204" t="s">
        <v>502</v>
      </c>
      <c r="B27" s="212" t="s">
        <v>493</v>
      </c>
      <c r="C27" s="214">
        <v>9.14</v>
      </c>
      <c r="D27" s="215">
        <v>1830000</v>
      </c>
      <c r="E27" s="215">
        <v>350000</v>
      </c>
      <c r="F27" s="211">
        <f t="shared" si="2"/>
        <v>2180000</v>
      </c>
      <c r="G27" s="4"/>
    </row>
    <row r="28" spans="1:7" ht="14.25" customHeight="1">
      <c r="A28" s="204"/>
      <c r="B28" s="212" t="s">
        <v>503</v>
      </c>
      <c r="C28" s="216"/>
      <c r="D28" s="217"/>
      <c r="E28" s="204"/>
      <c r="F28" s="211">
        <f t="shared" si="2"/>
        <v>0</v>
      </c>
      <c r="G28" s="4"/>
    </row>
    <row r="29" spans="1:7" ht="14.25" customHeight="1">
      <c r="A29" s="204" t="s">
        <v>495</v>
      </c>
      <c r="B29" s="212" t="s">
        <v>496</v>
      </c>
      <c r="C29" s="213">
        <v>15.256</v>
      </c>
      <c r="D29" s="211">
        <v>3051000</v>
      </c>
      <c r="E29" s="211">
        <v>18000</v>
      </c>
      <c r="F29" s="211">
        <f t="shared" si="2"/>
        <v>3069000</v>
      </c>
      <c r="G29" s="4"/>
    </row>
    <row r="30" spans="1:7" ht="14.25" customHeight="1">
      <c r="A30" s="204" t="s">
        <v>497</v>
      </c>
      <c r="B30" s="218" t="s">
        <v>498</v>
      </c>
      <c r="C30" s="209">
        <v>35.564999999999998</v>
      </c>
      <c r="D30" s="210">
        <v>7113000</v>
      </c>
      <c r="E30" s="210">
        <v>250000</v>
      </c>
      <c r="F30" s="211">
        <f t="shared" si="2"/>
        <v>7363000</v>
      </c>
      <c r="G30" s="4"/>
    </row>
    <row r="31" spans="1:7" ht="14.25" customHeight="1">
      <c r="A31" s="204"/>
      <c r="B31" s="219" t="s">
        <v>499</v>
      </c>
      <c r="C31" s="220">
        <f t="shared" ref="C31:F31" si="3">SUM(C19:C30)</f>
        <v>109.24299999999999</v>
      </c>
      <c r="D31" s="221">
        <f t="shared" si="3"/>
        <v>21850000</v>
      </c>
      <c r="E31" s="221">
        <f t="shared" si="3"/>
        <v>1217000</v>
      </c>
      <c r="F31" s="221">
        <f t="shared" si="3"/>
        <v>23067000</v>
      </c>
      <c r="G31" s="4"/>
    </row>
    <row r="32" spans="1:7" ht="14.25" customHeight="1">
      <c r="A32" s="4"/>
      <c r="B32" s="4"/>
      <c r="C32" s="4"/>
      <c r="D32" s="4"/>
      <c r="E32" s="4"/>
      <c r="F32" s="4"/>
      <c r="G32" s="4"/>
    </row>
    <row r="33" spans="1:7" ht="25.5" customHeight="1">
      <c r="A33" s="4" t="s">
        <v>471</v>
      </c>
      <c r="B33" s="222" t="s">
        <v>133</v>
      </c>
      <c r="C33" s="223" t="s">
        <v>472</v>
      </c>
      <c r="D33" s="224" t="s">
        <v>473</v>
      </c>
      <c r="E33" s="224" t="s">
        <v>504</v>
      </c>
      <c r="F33" s="224" t="s">
        <v>505</v>
      </c>
      <c r="G33" s="224" t="s">
        <v>506</v>
      </c>
    </row>
    <row r="34" spans="1:7" ht="14.25" customHeight="1">
      <c r="A34" s="4" t="s">
        <v>507</v>
      </c>
      <c r="B34" s="225" t="s">
        <v>477</v>
      </c>
      <c r="C34" s="226">
        <v>2.34</v>
      </c>
      <c r="D34" s="227">
        <v>358264</v>
      </c>
      <c r="E34" s="227">
        <v>0</v>
      </c>
      <c r="F34" s="228">
        <f t="shared" ref="F34:F42" si="4">SUM(D34:E34)</f>
        <v>358264</v>
      </c>
      <c r="G34" s="228">
        <f t="shared" ref="G34:G42" si="5">SUM(D34:E34)/C34</f>
        <v>153104.2735042735</v>
      </c>
    </row>
    <row r="35" spans="1:7" ht="14.25" customHeight="1">
      <c r="A35" s="4" t="s">
        <v>508</v>
      </c>
      <c r="B35" s="229" t="s">
        <v>479</v>
      </c>
      <c r="C35" s="226">
        <v>5.52</v>
      </c>
      <c r="D35" s="227">
        <v>732411</v>
      </c>
      <c r="E35" s="227">
        <v>0</v>
      </c>
      <c r="F35" s="228">
        <f t="shared" si="4"/>
        <v>732411</v>
      </c>
      <c r="G35" s="228">
        <f t="shared" si="5"/>
        <v>132683.15217391305</v>
      </c>
    </row>
    <row r="36" spans="1:7" ht="14.25" customHeight="1">
      <c r="A36" s="4" t="s">
        <v>509</v>
      </c>
      <c r="B36" s="229" t="s">
        <v>481</v>
      </c>
      <c r="C36" s="230">
        <f>3.63+3.45+4.15+3.36</f>
        <v>14.59</v>
      </c>
      <c r="D36" s="228">
        <v>2879329</v>
      </c>
      <c r="E36" s="228">
        <v>0</v>
      </c>
      <c r="F36" s="228">
        <f t="shared" si="4"/>
        <v>2879329</v>
      </c>
      <c r="G36" s="228">
        <f t="shared" si="5"/>
        <v>197349.48594928032</v>
      </c>
    </row>
    <row r="37" spans="1:7" ht="14.25" customHeight="1">
      <c r="A37" s="4" t="s">
        <v>510</v>
      </c>
      <c r="B37" s="229" t="s">
        <v>483</v>
      </c>
      <c r="C37" s="226">
        <v>3</v>
      </c>
      <c r="D37" s="227">
        <v>237717</v>
      </c>
      <c r="E37" s="227">
        <v>0</v>
      </c>
      <c r="F37" s="228">
        <f t="shared" si="4"/>
        <v>237717</v>
      </c>
      <c r="G37" s="228">
        <f t="shared" si="5"/>
        <v>79239</v>
      </c>
    </row>
    <row r="38" spans="1:7" ht="14.25" customHeight="1">
      <c r="A38" s="4" t="s">
        <v>511</v>
      </c>
      <c r="B38" s="229" t="s">
        <v>485</v>
      </c>
      <c r="C38" s="226">
        <f>1+1+0.45+0.8+0.35+1.05+2.73+0.19</f>
        <v>7.5700000000000012</v>
      </c>
      <c r="D38" s="227">
        <v>2064882</v>
      </c>
      <c r="E38" s="227">
        <v>0</v>
      </c>
      <c r="F38" s="228">
        <f t="shared" si="4"/>
        <v>2064882</v>
      </c>
      <c r="G38" s="228">
        <f t="shared" si="5"/>
        <v>272771.73051519151</v>
      </c>
    </row>
    <row r="39" spans="1:7" ht="13.5" customHeight="1">
      <c r="A39" s="204" t="s">
        <v>512</v>
      </c>
      <c r="B39" s="212" t="s">
        <v>487</v>
      </c>
      <c r="C39" s="209">
        <f>0.25+1+0.2+0.4+0.15+0.25+2.6+1.25</f>
        <v>6.1</v>
      </c>
      <c r="D39" s="210">
        <v>1481524</v>
      </c>
      <c r="E39" s="210">
        <v>0</v>
      </c>
      <c r="F39" s="211">
        <f t="shared" si="4"/>
        <v>1481524</v>
      </c>
      <c r="G39" s="211">
        <f t="shared" si="5"/>
        <v>242872.78688524591</v>
      </c>
    </row>
    <row r="40" spans="1:7" ht="14.25" customHeight="1">
      <c r="A40" s="4" t="s">
        <v>513</v>
      </c>
      <c r="B40" s="229" t="s">
        <v>489</v>
      </c>
      <c r="C40" s="226">
        <v>4.4800000000000004</v>
      </c>
      <c r="D40" s="227">
        <v>566345</v>
      </c>
      <c r="E40" s="227">
        <v>0</v>
      </c>
      <c r="F40" s="228">
        <f t="shared" si="4"/>
        <v>566345</v>
      </c>
      <c r="G40" s="228">
        <f t="shared" si="5"/>
        <v>126416.29464285713</v>
      </c>
    </row>
    <row r="41" spans="1:7" ht="14.25" customHeight="1">
      <c r="A41" s="4" t="s">
        <v>514</v>
      </c>
      <c r="B41" s="229" t="s">
        <v>491</v>
      </c>
      <c r="C41" s="226">
        <v>8.3800000000000008</v>
      </c>
      <c r="D41" s="227">
        <v>1261600</v>
      </c>
      <c r="E41" s="227">
        <v>0</v>
      </c>
      <c r="F41" s="228">
        <f t="shared" si="4"/>
        <v>1261600</v>
      </c>
      <c r="G41" s="228">
        <f t="shared" si="5"/>
        <v>150548.92601431979</v>
      </c>
    </row>
    <row r="42" spans="1:7" ht="14.25" customHeight="1">
      <c r="A42" s="4" t="s">
        <v>515</v>
      </c>
      <c r="B42" s="229" t="s">
        <v>493</v>
      </c>
      <c r="C42" s="226">
        <f>1.46+1+1.84</f>
        <v>4.3</v>
      </c>
      <c r="D42" s="227">
        <v>900747</v>
      </c>
      <c r="E42" s="227">
        <v>0</v>
      </c>
      <c r="F42" s="228">
        <f t="shared" si="4"/>
        <v>900747</v>
      </c>
      <c r="G42" s="228">
        <f t="shared" si="5"/>
        <v>209476.04651162791</v>
      </c>
    </row>
    <row r="43" spans="1:7" ht="14.25" customHeight="1">
      <c r="A43" s="4"/>
      <c r="B43" s="229" t="s">
        <v>516</v>
      </c>
      <c r="C43" s="230"/>
      <c r="D43" s="228"/>
      <c r="E43" s="228"/>
      <c r="F43" s="228"/>
      <c r="G43" s="228"/>
    </row>
    <row r="44" spans="1:7" ht="14.25" customHeight="1">
      <c r="A44" s="4" t="s">
        <v>517</v>
      </c>
      <c r="B44" s="229" t="s">
        <v>496</v>
      </c>
      <c r="C44" s="230">
        <f>4.75+3.69</f>
        <v>8.44</v>
      </c>
      <c r="D44" s="228">
        <v>1814219</v>
      </c>
      <c r="E44" s="228">
        <v>0</v>
      </c>
      <c r="F44" s="228">
        <f t="shared" ref="F44:F45" si="6">SUM(D44:E44)</f>
        <v>1814219</v>
      </c>
      <c r="G44" s="228">
        <f t="shared" ref="G44:G45" si="7">SUM(D44:E44)/C44</f>
        <v>214954.85781990521</v>
      </c>
    </row>
    <row r="45" spans="1:7" ht="14.25" customHeight="1">
      <c r="A45" s="4" t="s">
        <v>518</v>
      </c>
      <c r="B45" s="231" t="s">
        <v>498</v>
      </c>
      <c r="C45" s="230">
        <f>9.96+4.99+4.83+3.3+3.43</f>
        <v>26.51</v>
      </c>
      <c r="D45" s="228">
        <v>5988584</v>
      </c>
      <c r="E45" s="228">
        <v>0</v>
      </c>
      <c r="F45" s="228">
        <f t="shared" si="6"/>
        <v>5988584</v>
      </c>
      <c r="G45" s="228">
        <f t="shared" si="7"/>
        <v>225899.05695963785</v>
      </c>
    </row>
    <row r="46" spans="1:7" ht="14.25" customHeight="1">
      <c r="A46" s="4"/>
      <c r="B46" s="232" t="s">
        <v>499</v>
      </c>
      <c r="C46" s="233">
        <f t="shared" ref="C46:G46" si="8">SUM(C34:C45)</f>
        <v>91.230000000000018</v>
      </c>
      <c r="D46" s="234">
        <f t="shared" si="8"/>
        <v>18285622</v>
      </c>
      <c r="E46" s="234">
        <f t="shared" si="8"/>
        <v>0</v>
      </c>
      <c r="F46" s="235">
        <f t="shared" si="8"/>
        <v>18285622</v>
      </c>
      <c r="G46" s="235">
        <f t="shared" si="8"/>
        <v>2005315.6109762522</v>
      </c>
    </row>
    <row r="47" spans="1:7" ht="14.25" customHeight="1">
      <c r="A47" s="4"/>
      <c r="B47" s="4"/>
      <c r="C47" s="233"/>
      <c r="D47" s="4"/>
      <c r="E47" s="4"/>
      <c r="F47" s="4"/>
      <c r="G47" s="4"/>
    </row>
    <row r="48" spans="1:7" ht="25.5" customHeight="1">
      <c r="A48" s="4" t="s">
        <v>471</v>
      </c>
      <c r="B48" s="222" t="s">
        <v>141</v>
      </c>
      <c r="C48" s="223" t="s">
        <v>472</v>
      </c>
      <c r="D48" s="224" t="s">
        <v>473</v>
      </c>
      <c r="E48" s="224" t="s">
        <v>504</v>
      </c>
      <c r="F48" s="224" t="s">
        <v>519</v>
      </c>
      <c r="G48" s="224" t="s">
        <v>520</v>
      </c>
    </row>
    <row r="49" spans="1:26" ht="14.25" customHeight="1">
      <c r="A49" s="4" t="s">
        <v>507</v>
      </c>
      <c r="B49" s="225" t="s">
        <v>477</v>
      </c>
      <c r="C49" s="226">
        <v>2.34</v>
      </c>
      <c r="D49" s="227">
        <v>381458</v>
      </c>
      <c r="E49" s="227">
        <v>0</v>
      </c>
      <c r="F49" s="228">
        <f t="shared" ref="F49:F57" si="9">SUM(D49:E49)</f>
        <v>381458</v>
      </c>
      <c r="G49" s="228">
        <f t="shared" ref="G49:G57" si="10">SUM(D49:E49)/C49</f>
        <v>163016.23931623931</v>
      </c>
    </row>
    <row r="50" spans="1:26" ht="14.25" customHeight="1">
      <c r="A50" s="4" t="s">
        <v>508</v>
      </c>
      <c r="B50" s="229" t="s">
        <v>479</v>
      </c>
      <c r="C50" s="226">
        <v>5.27</v>
      </c>
      <c r="D50" s="227">
        <v>981934</v>
      </c>
      <c r="E50" s="227">
        <v>0</v>
      </c>
      <c r="F50" s="228">
        <f t="shared" si="9"/>
        <v>981934</v>
      </c>
      <c r="G50" s="228">
        <f t="shared" si="10"/>
        <v>186325.23719165087</v>
      </c>
    </row>
    <row r="51" spans="1:26" ht="14.25" customHeight="1">
      <c r="A51" s="4" t="s">
        <v>509</v>
      </c>
      <c r="B51" s="229" t="s">
        <v>481</v>
      </c>
      <c r="C51" s="230">
        <f>3.52+3.37+4.15+4.15</f>
        <v>15.190000000000001</v>
      </c>
      <c r="D51" s="228">
        <v>3081713</v>
      </c>
      <c r="E51" s="228">
        <v>0</v>
      </c>
      <c r="F51" s="228">
        <f t="shared" si="9"/>
        <v>3081713</v>
      </c>
      <c r="G51" s="228">
        <f t="shared" si="10"/>
        <v>202877.74851876232</v>
      </c>
    </row>
    <row r="52" spans="1:26" ht="14.25" customHeight="1">
      <c r="A52" s="4" t="s">
        <v>510</v>
      </c>
      <c r="B52" s="229" t="s">
        <v>483</v>
      </c>
      <c r="C52" s="226">
        <v>3.18</v>
      </c>
      <c r="D52" s="227">
        <v>380006</v>
      </c>
      <c r="E52" s="227">
        <v>0</v>
      </c>
      <c r="F52" s="228">
        <f t="shared" si="9"/>
        <v>380006</v>
      </c>
      <c r="G52" s="228">
        <f t="shared" si="10"/>
        <v>119498.74213836477</v>
      </c>
    </row>
    <row r="53" spans="1:26" ht="14.25" customHeight="1">
      <c r="A53" s="4" t="s">
        <v>511</v>
      </c>
      <c r="B53" s="229" t="s">
        <v>485</v>
      </c>
      <c r="C53" s="226">
        <f>0.99+0.6+0.45+0.8+0.35+1.05+2.31+0.21</f>
        <v>6.7600000000000007</v>
      </c>
      <c r="D53" s="227">
        <v>2349954</v>
      </c>
      <c r="E53" s="227">
        <v>0</v>
      </c>
      <c r="F53" s="228">
        <f t="shared" si="9"/>
        <v>2349954</v>
      </c>
      <c r="G53" s="228">
        <f t="shared" si="10"/>
        <v>347626.3313609467</v>
      </c>
    </row>
    <row r="54" spans="1:26" ht="15" customHeight="1">
      <c r="A54" s="4" t="s">
        <v>512</v>
      </c>
      <c r="B54" s="229" t="s">
        <v>487</v>
      </c>
      <c r="C54" s="226">
        <f>0.25+1+0.3+0.4+0.12+0.2+2.65+1.25</f>
        <v>6.17</v>
      </c>
      <c r="D54" s="227">
        <v>1361737</v>
      </c>
      <c r="E54" s="227">
        <v>0</v>
      </c>
      <c r="F54" s="228">
        <f t="shared" si="9"/>
        <v>1361737</v>
      </c>
      <c r="G54" s="228">
        <f t="shared" si="10"/>
        <v>220702.9173419773</v>
      </c>
    </row>
    <row r="55" spans="1:26" ht="14.25" customHeight="1">
      <c r="A55" s="4" t="s">
        <v>513</v>
      </c>
      <c r="B55" s="229" t="s">
        <v>489</v>
      </c>
      <c r="C55" s="226">
        <v>4.4800000000000004</v>
      </c>
      <c r="D55" s="227">
        <v>518556</v>
      </c>
      <c r="E55" s="227">
        <v>0</v>
      </c>
      <c r="F55" s="228">
        <f t="shared" si="9"/>
        <v>518556</v>
      </c>
      <c r="G55" s="228">
        <f t="shared" si="10"/>
        <v>115749.10714285713</v>
      </c>
    </row>
    <row r="56" spans="1:26" ht="14.25" customHeight="1">
      <c r="A56" s="4" t="s">
        <v>514</v>
      </c>
      <c r="B56" s="229" t="s">
        <v>491</v>
      </c>
      <c r="C56" s="226">
        <v>8.370000000000001</v>
      </c>
      <c r="D56" s="227">
        <v>1237253</v>
      </c>
      <c r="E56" s="227">
        <v>0</v>
      </c>
      <c r="F56" s="228">
        <f t="shared" si="9"/>
        <v>1237253</v>
      </c>
      <c r="G56" s="228">
        <f t="shared" si="10"/>
        <v>147819.95221027479</v>
      </c>
    </row>
    <row r="57" spans="1:26" ht="14.25" customHeight="1">
      <c r="A57" s="4" t="s">
        <v>515</v>
      </c>
      <c r="B57" s="229" t="s">
        <v>493</v>
      </c>
      <c r="C57" s="226">
        <f>1.43+1+1.58</f>
        <v>4.01</v>
      </c>
      <c r="D57" s="227">
        <v>1006896</v>
      </c>
      <c r="E57" s="227">
        <v>0</v>
      </c>
      <c r="F57" s="228">
        <f t="shared" si="9"/>
        <v>1006896</v>
      </c>
      <c r="G57" s="228">
        <f t="shared" si="10"/>
        <v>251096.25935162097</v>
      </c>
    </row>
    <row r="58" spans="1:26" ht="14.25" customHeight="1">
      <c r="A58" s="4"/>
      <c r="B58" s="229" t="s">
        <v>521</v>
      </c>
      <c r="C58" s="230"/>
      <c r="D58" s="228"/>
      <c r="E58" s="228"/>
      <c r="F58" s="228"/>
      <c r="G58" s="228"/>
    </row>
    <row r="59" spans="1:26" ht="14.25" customHeight="1">
      <c r="A59" s="4" t="s">
        <v>517</v>
      </c>
      <c r="B59" s="229" t="s">
        <v>496</v>
      </c>
      <c r="C59" s="230">
        <f>5.74+3.49</f>
        <v>9.23</v>
      </c>
      <c r="D59" s="228">
        <v>1862341</v>
      </c>
      <c r="E59" s="228">
        <v>0</v>
      </c>
      <c r="F59" s="228">
        <f t="shared" ref="F59:F60" si="11">SUM(D59:E59)</f>
        <v>1862341</v>
      </c>
      <c r="G59" s="228">
        <f t="shared" ref="G59:G60" si="12">SUM(D59:E59)/C59</f>
        <v>201770.42253521126</v>
      </c>
    </row>
    <row r="60" spans="1:26" ht="14.25" customHeight="1">
      <c r="A60" s="4" t="s">
        <v>518</v>
      </c>
      <c r="B60" s="231" t="s">
        <v>498</v>
      </c>
      <c r="C60" s="230">
        <f>10.38+5.03+4.04+3.16+3.32</f>
        <v>25.93</v>
      </c>
      <c r="D60" s="228">
        <v>6399740</v>
      </c>
      <c r="E60" s="228">
        <v>0</v>
      </c>
      <c r="F60" s="228">
        <f t="shared" si="11"/>
        <v>6399740</v>
      </c>
      <c r="G60" s="228">
        <f t="shared" si="12"/>
        <v>246808.33011955264</v>
      </c>
    </row>
    <row r="61" spans="1:26" ht="14.25" customHeight="1">
      <c r="A61" s="4"/>
      <c r="B61" s="232" t="s">
        <v>499</v>
      </c>
      <c r="C61" s="233">
        <f t="shared" ref="C61:G61" si="13">SUM(C49:C60)</f>
        <v>90.93</v>
      </c>
      <c r="D61" s="235">
        <f t="shared" si="13"/>
        <v>19561588</v>
      </c>
      <c r="E61" s="235">
        <f t="shared" si="13"/>
        <v>0</v>
      </c>
      <c r="F61" s="235">
        <f t="shared" si="13"/>
        <v>19561588</v>
      </c>
      <c r="G61" s="235">
        <f t="shared" si="13"/>
        <v>2203291.2872274579</v>
      </c>
    </row>
    <row r="62" spans="1:26" ht="14.25" customHeight="1">
      <c r="A62" s="4"/>
      <c r="B62" s="4"/>
      <c r="C62" s="233"/>
      <c r="D62" s="4"/>
      <c r="E62" s="4"/>
      <c r="F62" s="4"/>
      <c r="G62" s="4"/>
    </row>
    <row r="63" spans="1:26" ht="25.5" customHeight="1">
      <c r="A63" s="204" t="s">
        <v>471</v>
      </c>
      <c r="B63" s="205" t="s">
        <v>145</v>
      </c>
      <c r="C63" s="206" t="s">
        <v>472</v>
      </c>
      <c r="D63" s="207" t="s">
        <v>473</v>
      </c>
      <c r="E63" s="207" t="s">
        <v>504</v>
      </c>
      <c r="F63" s="207" t="s">
        <v>519</v>
      </c>
      <c r="G63" s="207" t="s">
        <v>520</v>
      </c>
      <c r="H63" s="83"/>
      <c r="I63" s="83"/>
      <c r="J63" s="83"/>
      <c r="K63" s="83"/>
      <c r="L63" s="83"/>
      <c r="M63" s="83"/>
      <c r="N63" s="83"/>
      <c r="O63" s="83"/>
      <c r="P63" s="83"/>
      <c r="Q63" s="83"/>
      <c r="R63" s="83"/>
      <c r="S63" s="83"/>
      <c r="T63" s="83"/>
      <c r="U63" s="83"/>
      <c r="V63" s="83"/>
      <c r="W63" s="83"/>
      <c r="X63" s="83"/>
      <c r="Y63" s="83"/>
      <c r="Z63" s="83"/>
    </row>
    <row r="64" spans="1:26" ht="14.25" customHeight="1">
      <c r="A64" s="4" t="s">
        <v>507</v>
      </c>
      <c r="B64" s="225" t="s">
        <v>477</v>
      </c>
      <c r="C64" s="226">
        <v>2.35</v>
      </c>
      <c r="D64" s="227">
        <v>383310</v>
      </c>
      <c r="E64" s="227">
        <v>0</v>
      </c>
      <c r="F64" s="228">
        <f t="shared" ref="F64:F72" si="14">SUM(D64:E64)</f>
        <v>383310</v>
      </c>
      <c r="G64" s="228">
        <f t="shared" ref="G64:G72" si="15">SUM(D64:E64)/C64</f>
        <v>163110.63829787233</v>
      </c>
    </row>
    <row r="65" spans="1:26" ht="14.25" customHeight="1">
      <c r="A65" s="4" t="s">
        <v>508</v>
      </c>
      <c r="B65" s="229" t="s">
        <v>479</v>
      </c>
      <c r="C65" s="226">
        <v>5.5</v>
      </c>
      <c r="D65" s="227">
        <v>1105984</v>
      </c>
      <c r="E65" s="227">
        <v>0</v>
      </c>
      <c r="F65" s="228">
        <f t="shared" si="14"/>
        <v>1105984</v>
      </c>
      <c r="G65" s="228">
        <f t="shared" si="15"/>
        <v>201088</v>
      </c>
    </row>
    <row r="66" spans="1:26" ht="14.25" customHeight="1">
      <c r="A66" s="4" t="s">
        <v>509</v>
      </c>
      <c r="B66" s="229" t="s">
        <v>481</v>
      </c>
      <c r="C66" s="230">
        <f>3.47+3.51+4.15+3.38</f>
        <v>14.510000000000002</v>
      </c>
      <c r="D66" s="228">
        <v>3309954</v>
      </c>
      <c r="E66" s="228">
        <v>0</v>
      </c>
      <c r="F66" s="228">
        <f t="shared" si="14"/>
        <v>3309954</v>
      </c>
      <c r="G66" s="228">
        <f t="shared" si="15"/>
        <v>228115.3687112336</v>
      </c>
    </row>
    <row r="67" spans="1:26" ht="14.25" customHeight="1">
      <c r="A67" s="4" t="s">
        <v>510</v>
      </c>
      <c r="B67" s="229" t="s">
        <v>483</v>
      </c>
      <c r="C67" s="226">
        <v>3.23</v>
      </c>
      <c r="D67" s="227">
        <v>376145</v>
      </c>
      <c r="E67" s="227">
        <v>0</v>
      </c>
      <c r="F67" s="228">
        <f t="shared" si="14"/>
        <v>376145</v>
      </c>
      <c r="G67" s="228">
        <f t="shared" si="15"/>
        <v>116453.56037151703</v>
      </c>
    </row>
    <row r="68" spans="1:26" ht="14.25" customHeight="1">
      <c r="A68" s="4" t="s">
        <v>511</v>
      </c>
      <c r="B68" s="229" t="s">
        <v>485</v>
      </c>
      <c r="C68" s="226">
        <f>0.68+1.02+0.45+0.8+0.35+1.05+2.39+0.19</f>
        <v>6.9300000000000006</v>
      </c>
      <c r="D68" s="227">
        <v>2456782</v>
      </c>
      <c r="E68" s="227">
        <v>0</v>
      </c>
      <c r="F68" s="228">
        <f t="shared" si="14"/>
        <v>2456782</v>
      </c>
      <c r="G68" s="228">
        <f t="shared" si="15"/>
        <v>354513.99711399706</v>
      </c>
    </row>
    <row r="69" spans="1:26" ht="12" customHeight="1">
      <c r="A69" s="204" t="s">
        <v>512</v>
      </c>
      <c r="B69" s="212" t="s">
        <v>487</v>
      </c>
      <c r="C69" s="209">
        <f>0.25+0.91+0.25+0.39+0.13+0.4+2.4+1.25</f>
        <v>5.98</v>
      </c>
      <c r="D69" s="210">
        <v>1197749</v>
      </c>
      <c r="E69" s="210">
        <v>0</v>
      </c>
      <c r="F69" s="211">
        <f t="shared" si="14"/>
        <v>1197749</v>
      </c>
      <c r="G69" s="211">
        <f t="shared" si="15"/>
        <v>200292.47491638793</v>
      </c>
      <c r="H69" s="83"/>
      <c r="I69" s="83"/>
      <c r="J69" s="83"/>
      <c r="K69" s="83"/>
      <c r="L69" s="83"/>
      <c r="M69" s="83"/>
      <c r="N69" s="83"/>
      <c r="O69" s="83"/>
      <c r="P69" s="83"/>
      <c r="Q69" s="83"/>
      <c r="R69" s="83"/>
      <c r="S69" s="83"/>
      <c r="T69" s="83"/>
      <c r="U69" s="83"/>
      <c r="V69" s="83"/>
      <c r="W69" s="83"/>
      <c r="X69" s="83"/>
      <c r="Y69" s="83"/>
      <c r="Z69" s="83"/>
    </row>
    <row r="70" spans="1:26" ht="14.25" customHeight="1">
      <c r="A70" s="4" t="s">
        <v>513</v>
      </c>
      <c r="B70" s="229" t="s">
        <v>489</v>
      </c>
      <c r="C70" s="226">
        <v>3.73</v>
      </c>
      <c r="D70" s="227">
        <v>754344</v>
      </c>
      <c r="E70" s="227">
        <v>0</v>
      </c>
      <c r="F70" s="228">
        <f t="shared" si="14"/>
        <v>754344</v>
      </c>
      <c r="G70" s="228">
        <f t="shared" si="15"/>
        <v>202236.99731903485</v>
      </c>
    </row>
    <row r="71" spans="1:26" ht="14.25" customHeight="1">
      <c r="A71" s="4" t="s">
        <v>514</v>
      </c>
      <c r="B71" s="229" t="s">
        <v>491</v>
      </c>
      <c r="C71" s="226">
        <v>9</v>
      </c>
      <c r="D71" s="227">
        <v>1519990</v>
      </c>
      <c r="E71" s="227">
        <v>0</v>
      </c>
      <c r="F71" s="228">
        <f t="shared" si="14"/>
        <v>1519990</v>
      </c>
      <c r="G71" s="228">
        <f t="shared" si="15"/>
        <v>168887.77777777778</v>
      </c>
    </row>
    <row r="72" spans="1:26" ht="14.25" customHeight="1">
      <c r="A72" s="4" t="s">
        <v>515</v>
      </c>
      <c r="B72" s="229" t="s">
        <v>493</v>
      </c>
      <c r="C72" s="226">
        <f>1.45+0.95+1.57</f>
        <v>3.9699999999999998</v>
      </c>
      <c r="D72" s="227">
        <v>1006684</v>
      </c>
      <c r="E72" s="227">
        <v>0</v>
      </c>
      <c r="F72" s="228">
        <f t="shared" si="14"/>
        <v>1006684</v>
      </c>
      <c r="G72" s="228">
        <f t="shared" si="15"/>
        <v>253572.79596977332</v>
      </c>
    </row>
    <row r="73" spans="1:26" ht="14.25" customHeight="1">
      <c r="A73" s="4"/>
      <c r="B73" s="229" t="s">
        <v>522</v>
      </c>
      <c r="C73" s="230"/>
      <c r="D73" s="228"/>
      <c r="E73" s="228"/>
      <c r="F73" s="228"/>
      <c r="G73" s="228"/>
    </row>
    <row r="74" spans="1:26" ht="14.25" customHeight="1">
      <c r="A74" s="4" t="s">
        <v>517</v>
      </c>
      <c r="B74" s="229" t="s">
        <v>496</v>
      </c>
      <c r="C74" s="230">
        <f>5.34+3.42</f>
        <v>8.76</v>
      </c>
      <c r="D74" s="228">
        <v>1879629</v>
      </c>
      <c r="E74" s="228">
        <v>0</v>
      </c>
      <c r="F74" s="228">
        <f t="shared" ref="F74:F75" si="16">SUM(D74:E74)</f>
        <v>1879629</v>
      </c>
      <c r="G74" s="228">
        <f t="shared" ref="G74:G75" si="17">SUM(D74:E74)/C74</f>
        <v>214569.5205479452</v>
      </c>
    </row>
    <row r="75" spans="1:26" ht="14.25" customHeight="1">
      <c r="A75" s="4" t="s">
        <v>518</v>
      </c>
      <c r="B75" s="231" t="s">
        <v>498</v>
      </c>
      <c r="C75" s="230">
        <f>9.91+4.96+3.99+3.15+5.1</f>
        <v>27.11</v>
      </c>
      <c r="D75" s="228">
        <v>6003127</v>
      </c>
      <c r="E75" s="228">
        <v>0</v>
      </c>
      <c r="F75" s="228">
        <f t="shared" si="16"/>
        <v>6003127</v>
      </c>
      <c r="G75" s="228">
        <f t="shared" si="17"/>
        <v>221435.89081519734</v>
      </c>
    </row>
    <row r="76" spans="1:26" ht="14.25" customHeight="1">
      <c r="A76" s="4"/>
      <c r="B76" s="232" t="s">
        <v>499</v>
      </c>
      <c r="C76" s="233">
        <f t="shared" ref="C76:G76" si="18">SUM(C64:C75)</f>
        <v>91.07</v>
      </c>
      <c r="D76" s="235">
        <f t="shared" si="18"/>
        <v>19993698</v>
      </c>
      <c r="E76" s="235">
        <f t="shared" si="18"/>
        <v>0</v>
      </c>
      <c r="F76" s="235">
        <f t="shared" si="18"/>
        <v>19993698</v>
      </c>
      <c r="G76" s="235">
        <f t="shared" si="18"/>
        <v>2324277.0218407363</v>
      </c>
    </row>
    <row r="77" spans="1:26" ht="14.25" customHeight="1">
      <c r="A77" s="3"/>
      <c r="B77" s="3"/>
      <c r="C77" s="3"/>
      <c r="D77" s="3"/>
      <c r="E77" s="3"/>
      <c r="F77" s="3"/>
      <c r="G77" s="3"/>
    </row>
    <row r="78" spans="1:26" ht="25.5" customHeight="1">
      <c r="A78" s="236" t="s">
        <v>471</v>
      </c>
      <c r="B78" s="237" t="s">
        <v>149</v>
      </c>
      <c r="C78" s="238" t="s">
        <v>472</v>
      </c>
      <c r="D78" s="238" t="s">
        <v>473</v>
      </c>
      <c r="E78" s="207" t="s">
        <v>504</v>
      </c>
      <c r="F78" s="238" t="s">
        <v>505</v>
      </c>
      <c r="G78" s="238" t="s">
        <v>523</v>
      </c>
      <c r="H78" s="239"/>
      <c r="I78" s="239"/>
      <c r="J78" s="239"/>
      <c r="K78" s="239"/>
      <c r="L78" s="239"/>
      <c r="M78" s="239"/>
      <c r="N78" s="239"/>
      <c r="O78" s="239"/>
      <c r="P78" s="239"/>
      <c r="Q78" s="239"/>
      <c r="R78" s="239"/>
      <c r="S78" s="239"/>
      <c r="T78" s="239"/>
      <c r="U78" s="239"/>
      <c r="V78" s="239"/>
      <c r="W78" s="239"/>
      <c r="X78" s="239"/>
      <c r="Y78" s="239"/>
      <c r="Z78" s="239"/>
    </row>
    <row r="79" spans="1:26" ht="14.25" customHeight="1">
      <c r="A79" s="4" t="s">
        <v>507</v>
      </c>
      <c r="B79" s="4" t="s">
        <v>477</v>
      </c>
      <c r="C79" s="240">
        <v>2.08</v>
      </c>
      <c r="D79" s="241">
        <v>341620</v>
      </c>
      <c r="E79" s="227">
        <v>0</v>
      </c>
      <c r="F79" s="241">
        <f t="shared" ref="F79:F87" si="19">D79+E79</f>
        <v>341620</v>
      </c>
      <c r="G79" s="241">
        <f t="shared" ref="G79:G87" si="20">F79/C79</f>
        <v>164240.3846153846</v>
      </c>
    </row>
    <row r="80" spans="1:26" ht="14.25" customHeight="1">
      <c r="A80" s="4" t="s">
        <v>508</v>
      </c>
      <c r="B80" s="4" t="s">
        <v>479</v>
      </c>
      <c r="C80" s="240">
        <v>7</v>
      </c>
      <c r="D80" s="241">
        <v>1243043.1499999999</v>
      </c>
      <c r="E80" s="227">
        <v>0</v>
      </c>
      <c r="F80" s="241">
        <f t="shared" si="19"/>
        <v>1243043.1499999999</v>
      </c>
      <c r="G80" s="241">
        <f t="shared" si="20"/>
        <v>177577.59285714285</v>
      </c>
    </row>
    <row r="81" spans="1:7" ht="14.25" customHeight="1">
      <c r="A81" s="4" t="s">
        <v>509</v>
      </c>
      <c r="B81" s="4" t="s">
        <v>481</v>
      </c>
      <c r="C81" s="240">
        <v>15.29</v>
      </c>
      <c r="D81" s="241">
        <v>3019181.1</v>
      </c>
      <c r="E81" s="228">
        <v>0</v>
      </c>
      <c r="F81" s="241">
        <f t="shared" si="19"/>
        <v>3019181.1</v>
      </c>
      <c r="G81" s="241">
        <f t="shared" si="20"/>
        <v>197461.15761935909</v>
      </c>
    </row>
    <row r="82" spans="1:7" ht="14.25" customHeight="1">
      <c r="A82" s="4" t="s">
        <v>510</v>
      </c>
      <c r="B82" s="4" t="s">
        <v>483</v>
      </c>
      <c r="C82" s="240">
        <v>5.23</v>
      </c>
      <c r="D82" s="241">
        <v>802583.66</v>
      </c>
      <c r="E82" s="227">
        <v>0</v>
      </c>
      <c r="F82" s="241">
        <f t="shared" si="19"/>
        <v>802583.66</v>
      </c>
      <c r="G82" s="241">
        <f t="shared" si="20"/>
        <v>153457.67877629062</v>
      </c>
    </row>
    <row r="83" spans="1:7" ht="14.25" customHeight="1">
      <c r="A83" s="4" t="s">
        <v>511</v>
      </c>
      <c r="B83" s="4" t="s">
        <v>524</v>
      </c>
      <c r="C83" s="240">
        <v>6.49</v>
      </c>
      <c r="D83" s="241">
        <v>1828550.51</v>
      </c>
      <c r="E83" s="227">
        <v>0</v>
      </c>
      <c r="F83" s="241">
        <f t="shared" si="19"/>
        <v>1828550.51</v>
      </c>
      <c r="G83" s="241">
        <f t="shared" si="20"/>
        <v>281748.92295839754</v>
      </c>
    </row>
    <row r="84" spans="1:7" ht="14.25" customHeight="1">
      <c r="A84" s="4" t="s">
        <v>512</v>
      </c>
      <c r="B84" s="4" t="s">
        <v>487</v>
      </c>
      <c r="C84" s="240">
        <v>6.85</v>
      </c>
      <c r="D84" s="241">
        <v>1533129.94</v>
      </c>
      <c r="E84" s="210">
        <v>0</v>
      </c>
      <c r="F84" s="241">
        <f t="shared" si="19"/>
        <v>1533129.94</v>
      </c>
      <c r="G84" s="241">
        <f t="shared" si="20"/>
        <v>223814.5897810219</v>
      </c>
    </row>
    <row r="85" spans="1:7" ht="14.25" customHeight="1">
      <c r="A85" s="4" t="s">
        <v>513</v>
      </c>
      <c r="B85" s="4" t="s">
        <v>489</v>
      </c>
      <c r="C85" s="240">
        <v>3.7</v>
      </c>
      <c r="D85" s="241">
        <v>717499.53</v>
      </c>
      <c r="E85" s="227">
        <v>0</v>
      </c>
      <c r="F85" s="241">
        <f t="shared" si="19"/>
        <v>717499.53</v>
      </c>
      <c r="G85" s="241">
        <f t="shared" si="20"/>
        <v>193918.79189189189</v>
      </c>
    </row>
    <row r="86" spans="1:7" ht="14.25" customHeight="1">
      <c r="A86" s="4" t="s">
        <v>514</v>
      </c>
      <c r="B86" s="4" t="s">
        <v>491</v>
      </c>
      <c r="C86" s="240">
        <v>9.76</v>
      </c>
      <c r="D86" s="241">
        <v>1383846.01</v>
      </c>
      <c r="E86" s="227">
        <v>0</v>
      </c>
      <c r="F86" s="241">
        <f t="shared" si="19"/>
        <v>1383846.01</v>
      </c>
      <c r="G86" s="241">
        <f t="shared" si="20"/>
        <v>141787.50102459016</v>
      </c>
    </row>
    <row r="87" spans="1:7" ht="14.25" customHeight="1">
      <c r="A87" s="4" t="s">
        <v>515</v>
      </c>
      <c r="B87" s="4" t="s">
        <v>493</v>
      </c>
      <c r="C87" s="240">
        <v>5.38</v>
      </c>
      <c r="D87" s="241">
        <v>1078945.07</v>
      </c>
      <c r="E87" s="227">
        <v>0</v>
      </c>
      <c r="F87" s="241">
        <f t="shared" si="19"/>
        <v>1078945.07</v>
      </c>
      <c r="G87" s="241">
        <f t="shared" si="20"/>
        <v>200547.41078066916</v>
      </c>
    </row>
    <row r="88" spans="1:7" ht="14.25" customHeight="1">
      <c r="A88" s="4"/>
      <c r="B88" s="229" t="s">
        <v>525</v>
      </c>
      <c r="C88" s="230"/>
      <c r="D88" s="228"/>
      <c r="E88" s="228"/>
      <c r="F88" s="228"/>
      <c r="G88" s="228"/>
    </row>
    <row r="89" spans="1:7" ht="14.25" customHeight="1">
      <c r="A89" s="4" t="s">
        <v>517</v>
      </c>
      <c r="B89" s="4" t="s">
        <v>496</v>
      </c>
      <c r="C89" s="240">
        <v>8.2200000000000006</v>
      </c>
      <c r="D89" s="241">
        <v>1827803.05</v>
      </c>
      <c r="E89" s="228"/>
      <c r="F89" s="241">
        <f t="shared" ref="F89:F90" si="21">D89+E89</f>
        <v>1827803.05</v>
      </c>
      <c r="G89" s="241">
        <f t="shared" ref="G89:G90" si="22">F89/C89</f>
        <v>222360.46836982967</v>
      </c>
    </row>
    <row r="90" spans="1:7" ht="14.25" customHeight="1">
      <c r="A90" s="4" t="s">
        <v>518</v>
      </c>
      <c r="B90" s="4" t="s">
        <v>498</v>
      </c>
      <c r="C90" s="240">
        <v>26.11</v>
      </c>
      <c r="D90" s="241">
        <v>6412573.7999999998</v>
      </c>
      <c r="E90" s="228">
        <v>0</v>
      </c>
      <c r="F90" s="241">
        <f t="shared" si="21"/>
        <v>6412573.7999999998</v>
      </c>
      <c r="G90" s="241">
        <f t="shared" si="22"/>
        <v>245598.38376101109</v>
      </c>
    </row>
    <row r="91" spans="1:7" ht="14.25" customHeight="1">
      <c r="C91" s="4">
        <f t="shared" ref="C91:G91" si="23">SUM(C79:C90)</f>
        <v>96.11</v>
      </c>
      <c r="D91" s="241">
        <f t="shared" si="23"/>
        <v>20188775.82</v>
      </c>
      <c r="E91" s="241">
        <f t="shared" si="23"/>
        <v>0</v>
      </c>
      <c r="F91" s="241">
        <f t="shared" si="23"/>
        <v>20188775.82</v>
      </c>
      <c r="G91" s="241">
        <f t="shared" si="23"/>
        <v>2202512.8824355886</v>
      </c>
    </row>
    <row r="92" spans="1:7" ht="14.25" customHeight="1"/>
    <row r="93" spans="1:7" ht="14.25" customHeight="1"/>
    <row r="94" spans="1:7" ht="14.25" customHeight="1"/>
    <row r="95" spans="1:7" ht="14.25" customHeight="1"/>
    <row r="96" spans="1:7"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B1:F1"/>
  </mergeCells>
  <pageMargins left="0.25" right="0.2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workbookViewId="0"/>
  </sheetViews>
  <sheetFormatPr defaultColWidth="14.453125" defaultRowHeight="15" customHeight="1"/>
  <cols>
    <col min="1" max="1" width="21.81640625" customWidth="1"/>
    <col min="2" max="2" width="12.453125" customWidth="1"/>
    <col min="3" max="3" width="11.7265625" customWidth="1"/>
    <col min="4" max="4" width="16.7265625" customWidth="1"/>
    <col min="5" max="5" width="11.26953125" customWidth="1"/>
    <col min="6" max="6" width="16.08984375" customWidth="1"/>
    <col min="7" max="7" width="12" customWidth="1"/>
    <col min="8" max="8" width="15" customWidth="1"/>
    <col min="9" max="9" width="11.81640625" customWidth="1"/>
    <col min="10" max="10" width="15.08984375" customWidth="1"/>
    <col min="11" max="11" width="12.26953125" customWidth="1"/>
    <col min="12" max="12" width="19.08984375" customWidth="1"/>
    <col min="13" max="13" width="12.26953125" customWidth="1"/>
    <col min="14" max="14" width="19.08984375" customWidth="1"/>
    <col min="15" max="26" width="8.7265625" customWidth="1"/>
  </cols>
  <sheetData>
    <row r="1" spans="1:26" ht="14.25" customHeight="1"/>
    <row r="2" spans="1:26" ht="14.25" customHeight="1"/>
    <row r="3" spans="1:26" ht="30" customHeight="1">
      <c r="A3" s="242" t="s">
        <v>526</v>
      </c>
      <c r="B3" s="243"/>
      <c r="C3" s="244" t="s">
        <v>52</v>
      </c>
      <c r="D3" s="244" t="s">
        <v>527</v>
      </c>
      <c r="E3" s="244" t="s">
        <v>53</v>
      </c>
      <c r="F3" s="244" t="s">
        <v>527</v>
      </c>
      <c r="G3" s="244" t="s">
        <v>54</v>
      </c>
      <c r="H3" s="244" t="s">
        <v>527</v>
      </c>
      <c r="I3" s="244" t="s">
        <v>55</v>
      </c>
      <c r="J3" s="244" t="s">
        <v>527</v>
      </c>
      <c r="K3" s="244" t="s">
        <v>56</v>
      </c>
      <c r="L3" s="244" t="s">
        <v>527</v>
      </c>
      <c r="M3" s="243" t="s">
        <v>57</v>
      </c>
      <c r="N3" s="245" t="s">
        <v>527</v>
      </c>
      <c r="O3" s="83"/>
      <c r="P3" s="83"/>
      <c r="Q3" s="83"/>
      <c r="R3" s="83"/>
      <c r="S3" s="83"/>
      <c r="T3" s="83"/>
      <c r="U3" s="83"/>
      <c r="V3" s="83"/>
      <c r="W3" s="83"/>
      <c r="X3" s="83"/>
      <c r="Y3" s="83"/>
      <c r="Z3" s="83"/>
    </row>
    <row r="4" spans="1:26" ht="14.25" customHeight="1">
      <c r="A4" s="246"/>
      <c r="B4" s="247"/>
      <c r="C4" s="248"/>
      <c r="D4" s="248"/>
      <c r="E4" s="248"/>
      <c r="F4" s="248"/>
      <c r="G4" s="248"/>
      <c r="H4" s="248"/>
      <c r="I4" s="248"/>
      <c r="J4" s="248"/>
      <c r="K4" s="248"/>
      <c r="L4" s="99"/>
      <c r="M4" s="247"/>
      <c r="N4" s="249"/>
      <c r="O4" s="83"/>
      <c r="P4" s="83"/>
      <c r="Q4" s="83"/>
      <c r="R4" s="83"/>
      <c r="S4" s="83"/>
      <c r="T4" s="83"/>
      <c r="U4" s="83"/>
      <c r="V4" s="83"/>
      <c r="W4" s="83"/>
      <c r="X4" s="83"/>
      <c r="Y4" s="83"/>
      <c r="Z4" s="83"/>
    </row>
    <row r="5" spans="1:26" ht="17.25" customHeight="1">
      <c r="A5" s="250" t="s">
        <v>528</v>
      </c>
      <c r="B5" s="251"/>
      <c r="C5" s="252" t="s">
        <v>529</v>
      </c>
      <c r="D5" s="253"/>
      <c r="E5" s="253"/>
      <c r="F5" s="253"/>
      <c r="G5" s="253"/>
      <c r="H5" s="253"/>
      <c r="I5" s="254"/>
      <c r="J5" s="254"/>
      <c r="K5" s="254"/>
      <c r="L5" s="99"/>
      <c r="M5" s="255"/>
      <c r="N5" s="249"/>
      <c r="O5" s="83"/>
      <c r="P5" s="83"/>
      <c r="Q5" s="83"/>
      <c r="R5" s="83"/>
      <c r="S5" s="83"/>
      <c r="T5" s="83"/>
      <c r="U5" s="83"/>
      <c r="V5" s="83"/>
      <c r="W5" s="83"/>
      <c r="X5" s="83"/>
      <c r="Y5" s="83"/>
      <c r="Z5" s="83"/>
    </row>
    <row r="6" spans="1:26" ht="58.5" customHeight="1">
      <c r="A6" s="256" t="s">
        <v>530</v>
      </c>
      <c r="B6" s="257" t="s">
        <v>531</v>
      </c>
      <c r="C6" s="175">
        <v>115580</v>
      </c>
      <c r="D6" s="258" t="s">
        <v>532</v>
      </c>
      <c r="E6" s="259">
        <v>116320</v>
      </c>
      <c r="F6" s="260" t="s">
        <v>533</v>
      </c>
      <c r="G6" s="259">
        <v>119570</v>
      </c>
      <c r="H6" s="258" t="s">
        <v>534</v>
      </c>
      <c r="I6" s="261">
        <v>123850</v>
      </c>
      <c r="J6" s="262" t="s">
        <v>535</v>
      </c>
      <c r="K6" s="261">
        <v>127460</v>
      </c>
      <c r="L6" s="263" t="s">
        <v>536</v>
      </c>
      <c r="M6" s="264">
        <v>130890</v>
      </c>
      <c r="N6" s="265" t="s">
        <v>537</v>
      </c>
      <c r="O6" s="83"/>
      <c r="P6" s="83"/>
      <c r="Q6" s="83"/>
      <c r="R6" s="83"/>
      <c r="S6" s="83"/>
      <c r="T6" s="83"/>
      <c r="U6" s="83"/>
      <c r="V6" s="83"/>
      <c r="W6" s="83"/>
      <c r="X6" s="83"/>
      <c r="Y6" s="83"/>
      <c r="Z6" s="83"/>
    </row>
    <row r="7" spans="1:26" ht="60" customHeight="1">
      <c r="A7" s="250"/>
      <c r="B7" s="266" t="s">
        <v>538</v>
      </c>
      <c r="C7" s="266" t="s">
        <v>539</v>
      </c>
      <c r="D7" s="266" t="s">
        <v>540</v>
      </c>
      <c r="E7" s="266" t="s">
        <v>541</v>
      </c>
      <c r="F7" s="266" t="s">
        <v>542</v>
      </c>
      <c r="G7" s="266" t="s">
        <v>543</v>
      </c>
      <c r="H7" s="266" t="s">
        <v>544</v>
      </c>
      <c r="I7" s="266" t="s">
        <v>545</v>
      </c>
      <c r="J7" s="266" t="s">
        <v>546</v>
      </c>
      <c r="K7" s="266" t="s">
        <v>547</v>
      </c>
      <c r="L7" s="266" t="s">
        <v>548</v>
      </c>
      <c r="M7" s="251" t="s">
        <v>549</v>
      </c>
      <c r="N7" s="267" t="s">
        <v>550</v>
      </c>
      <c r="O7" s="83"/>
      <c r="P7" s="83"/>
      <c r="Q7" s="83"/>
      <c r="R7" s="83"/>
      <c r="S7" s="83"/>
      <c r="T7" s="83"/>
      <c r="U7" s="83"/>
      <c r="V7" s="83"/>
      <c r="W7" s="83"/>
      <c r="X7" s="83"/>
      <c r="Y7" s="83"/>
      <c r="Z7" s="83"/>
    </row>
    <row r="8" spans="1:26" ht="58.5" customHeight="1">
      <c r="A8" s="256" t="s">
        <v>551</v>
      </c>
      <c r="B8" s="257" t="s">
        <v>531</v>
      </c>
      <c r="C8" s="175">
        <v>82200</v>
      </c>
      <c r="D8" s="258" t="s">
        <v>532</v>
      </c>
      <c r="E8" s="259">
        <v>84500</v>
      </c>
      <c r="F8" s="258" t="s">
        <v>552</v>
      </c>
      <c r="G8" s="259">
        <v>86340</v>
      </c>
      <c r="H8" s="258" t="s">
        <v>553</v>
      </c>
      <c r="I8" s="261">
        <v>87070</v>
      </c>
      <c r="J8" s="268" t="s">
        <v>554</v>
      </c>
      <c r="K8" s="261">
        <v>88410</v>
      </c>
      <c r="L8" s="269" t="s">
        <v>555</v>
      </c>
      <c r="M8" s="264">
        <v>89460</v>
      </c>
      <c r="N8" s="270" t="s">
        <v>556</v>
      </c>
      <c r="O8" s="83"/>
      <c r="P8" s="83"/>
      <c r="Q8" s="83"/>
      <c r="R8" s="83"/>
      <c r="S8" s="83"/>
      <c r="T8" s="83"/>
      <c r="U8" s="83"/>
      <c r="V8" s="83"/>
      <c r="W8" s="83"/>
      <c r="X8" s="83"/>
      <c r="Y8" s="83"/>
      <c r="Z8" s="83"/>
    </row>
    <row r="9" spans="1:26" ht="60" customHeight="1">
      <c r="A9" s="250"/>
      <c r="B9" s="266" t="s">
        <v>538</v>
      </c>
      <c r="C9" s="266" t="s">
        <v>539</v>
      </c>
      <c r="D9" s="266" t="s">
        <v>540</v>
      </c>
      <c r="E9" s="266" t="s">
        <v>541</v>
      </c>
      <c r="F9" s="266" t="s">
        <v>542</v>
      </c>
      <c r="G9" s="266" t="s">
        <v>543</v>
      </c>
      <c r="H9" s="266" t="s">
        <v>544</v>
      </c>
      <c r="I9" s="266" t="s">
        <v>545</v>
      </c>
      <c r="J9" s="266" t="s">
        <v>546</v>
      </c>
      <c r="K9" s="266" t="s">
        <v>547</v>
      </c>
      <c r="L9" s="266" t="s">
        <v>548</v>
      </c>
      <c r="M9" s="251" t="s">
        <v>549</v>
      </c>
      <c r="N9" s="271" t="s">
        <v>550</v>
      </c>
      <c r="O9" s="83"/>
      <c r="P9" s="83"/>
      <c r="Q9" s="83"/>
      <c r="R9" s="83"/>
      <c r="S9" s="83"/>
      <c r="T9" s="83"/>
      <c r="U9" s="83"/>
      <c r="V9" s="83"/>
      <c r="W9" s="83"/>
      <c r="X9" s="83"/>
      <c r="Y9" s="83"/>
      <c r="Z9" s="83"/>
    </row>
    <row r="10" spans="1:26" ht="14.25" customHeight="1">
      <c r="A10" s="272" t="s">
        <v>65</v>
      </c>
      <c r="B10" s="273"/>
      <c r="C10" s="274">
        <v>22</v>
      </c>
      <c r="D10" s="275" t="s">
        <v>557</v>
      </c>
      <c r="E10" s="254" t="s">
        <v>558</v>
      </c>
      <c r="F10" s="254" t="s">
        <v>558</v>
      </c>
      <c r="G10" s="274">
        <v>15.56</v>
      </c>
      <c r="H10" s="276" t="s">
        <v>559</v>
      </c>
      <c r="I10" s="277" t="s">
        <v>560</v>
      </c>
      <c r="J10" s="277" t="s">
        <v>560</v>
      </c>
      <c r="K10" s="277" t="s">
        <v>560</v>
      </c>
      <c r="L10" s="277" t="s">
        <v>560</v>
      </c>
      <c r="M10" s="278" t="s">
        <v>560</v>
      </c>
      <c r="N10" s="279" t="s">
        <v>560</v>
      </c>
      <c r="O10" s="83"/>
      <c r="P10" s="83"/>
      <c r="Q10" s="83"/>
      <c r="R10" s="83"/>
      <c r="S10" s="83"/>
      <c r="T10" s="83"/>
      <c r="U10" s="83"/>
      <c r="V10" s="83"/>
      <c r="W10" s="83"/>
      <c r="X10" s="83"/>
      <c r="Y10" s="83"/>
      <c r="Z10" s="83"/>
    </row>
    <row r="11" spans="1:26" ht="14.25" customHeight="1">
      <c r="A11" s="272" t="s">
        <v>67</v>
      </c>
      <c r="B11" s="273" t="s">
        <v>561</v>
      </c>
      <c r="C11" s="280">
        <v>11.29</v>
      </c>
      <c r="D11" s="281" t="s">
        <v>562</v>
      </c>
      <c r="E11" s="254" t="s">
        <v>558</v>
      </c>
      <c r="F11" s="254" t="s">
        <v>558</v>
      </c>
      <c r="G11" s="254" t="s">
        <v>558</v>
      </c>
      <c r="H11" s="254" t="s">
        <v>558</v>
      </c>
      <c r="I11" s="254" t="s">
        <v>558</v>
      </c>
      <c r="J11" s="254" t="s">
        <v>558</v>
      </c>
      <c r="K11" s="254" t="s">
        <v>558</v>
      </c>
      <c r="L11" s="254" t="s">
        <v>558</v>
      </c>
      <c r="M11" s="255" t="s">
        <v>558</v>
      </c>
      <c r="N11" s="282" t="s">
        <v>558</v>
      </c>
      <c r="O11" s="83"/>
      <c r="P11" s="83"/>
      <c r="Q11" s="83"/>
      <c r="R11" s="83"/>
      <c r="S11" s="83"/>
      <c r="T11" s="83"/>
      <c r="U11" s="83"/>
      <c r="V11" s="83"/>
      <c r="W11" s="83"/>
      <c r="X11" s="83"/>
      <c r="Y11" s="83"/>
      <c r="Z11" s="83"/>
    </row>
    <row r="12" spans="1:26" ht="14.25" customHeight="1">
      <c r="A12" s="272"/>
      <c r="B12" s="273" t="s">
        <v>563</v>
      </c>
      <c r="C12" s="280">
        <v>9.98</v>
      </c>
      <c r="D12" s="281" t="s">
        <v>564</v>
      </c>
      <c r="E12" s="277" t="s">
        <v>558</v>
      </c>
      <c r="F12" s="277" t="s">
        <v>558</v>
      </c>
      <c r="G12" s="277" t="s">
        <v>558</v>
      </c>
      <c r="H12" s="277" t="s">
        <v>558</v>
      </c>
      <c r="I12" s="277" t="s">
        <v>558</v>
      </c>
      <c r="J12" s="277" t="s">
        <v>558</v>
      </c>
      <c r="K12" s="277" t="s">
        <v>558</v>
      </c>
      <c r="L12" s="283" t="s">
        <v>558</v>
      </c>
      <c r="M12" s="278" t="s">
        <v>558</v>
      </c>
      <c r="N12" s="284" t="s">
        <v>558</v>
      </c>
      <c r="O12" s="83"/>
      <c r="P12" s="83"/>
      <c r="Q12" s="83"/>
      <c r="R12" s="83"/>
      <c r="S12" s="83"/>
      <c r="T12" s="83"/>
      <c r="U12" s="83"/>
      <c r="V12" s="83"/>
      <c r="W12" s="83"/>
      <c r="X12" s="83"/>
      <c r="Y12" s="83"/>
      <c r="Z12" s="83"/>
    </row>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ef="D6" r:id="rId1" xr:uid="{00000000-0004-0000-0D00-000000000000}"/>
    <hyperlink ref="H6" r:id="rId2" xr:uid="{00000000-0004-0000-0D00-000001000000}"/>
    <hyperlink ref="L6" r:id="rId3" xr:uid="{00000000-0004-0000-0D00-000002000000}"/>
    <hyperlink ref="N6" r:id="rId4" xr:uid="{00000000-0004-0000-0D00-000003000000}"/>
    <hyperlink ref="N7" r:id="rId5" xr:uid="{00000000-0004-0000-0D00-000004000000}"/>
    <hyperlink ref="D8" r:id="rId6" xr:uid="{00000000-0004-0000-0D00-000005000000}"/>
    <hyperlink ref="F8" r:id="rId7" xr:uid="{00000000-0004-0000-0D00-000006000000}"/>
    <hyperlink ref="H8" r:id="rId8" xr:uid="{00000000-0004-0000-0D00-000007000000}"/>
    <hyperlink ref="J8" r:id="rId9" xr:uid="{00000000-0004-0000-0D00-000008000000}"/>
    <hyperlink ref="L8" r:id="rId10" xr:uid="{00000000-0004-0000-0D00-000009000000}"/>
    <hyperlink ref="N8" r:id="rId11" xr:uid="{00000000-0004-0000-0D00-00000A000000}"/>
    <hyperlink ref="N9" r:id="rId12" xr:uid="{00000000-0004-0000-0D00-00000B000000}"/>
    <hyperlink ref="D11" r:id="rId13" xr:uid="{00000000-0004-0000-0D00-00000C000000}"/>
    <hyperlink ref="D12" r:id="rId14" xr:uid="{00000000-0004-0000-0D00-00000D000000}"/>
  </hyperlinks>
  <pageMargins left="0.25" right="0.25" top="0.75" bottom="0.75" header="0.3" footer="0.3"/>
  <pageSetup orientation="landscape" r:id="rId1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000"/>
  <sheetViews>
    <sheetView topLeftCell="B3" workbookViewId="0">
      <selection activeCell="F26" sqref="F26"/>
    </sheetView>
  </sheetViews>
  <sheetFormatPr defaultColWidth="14.453125" defaultRowHeight="15" customHeight="1"/>
  <cols>
    <col min="1" max="1" width="15.453125" customWidth="1"/>
    <col min="2" max="6" width="10.7265625" customWidth="1"/>
    <col min="7" max="26" width="8.7265625" customWidth="1"/>
  </cols>
  <sheetData>
    <row r="1" spans="1:8" ht="14.25" customHeight="1"/>
    <row r="2" spans="1:8" ht="14.25" customHeight="1">
      <c r="A2" s="14" t="s">
        <v>565</v>
      </c>
    </row>
    <row r="3" spans="1:8" ht="14.25" customHeight="1"/>
    <row r="4" spans="1:8" ht="14.25" customHeight="1">
      <c r="B4" s="15">
        <v>2020</v>
      </c>
      <c r="C4" s="15">
        <v>2019</v>
      </c>
      <c r="D4" s="15">
        <v>2018</v>
      </c>
      <c r="E4" s="15">
        <v>2017</v>
      </c>
      <c r="F4" s="15">
        <v>2016</v>
      </c>
      <c r="G4" s="15">
        <v>2015</v>
      </c>
      <c r="H4" s="15" t="s">
        <v>566</v>
      </c>
    </row>
    <row r="5" spans="1:8" ht="14.25" customHeight="1">
      <c r="A5" s="15" t="s">
        <v>567</v>
      </c>
      <c r="B5" s="174">
        <v>130890</v>
      </c>
      <c r="C5" s="156">
        <v>127460</v>
      </c>
      <c r="D5" s="156">
        <v>123850</v>
      </c>
      <c r="E5" s="156">
        <v>119570</v>
      </c>
      <c r="F5" s="156">
        <v>116320</v>
      </c>
      <c r="G5" s="156">
        <v>115580</v>
      </c>
      <c r="H5" s="285" t="s">
        <v>568</v>
      </c>
    </row>
    <row r="6" spans="1:8" ht="14.25" customHeight="1">
      <c r="A6" s="15" t="s">
        <v>569</v>
      </c>
      <c r="B6" s="286">
        <v>0.51</v>
      </c>
      <c r="C6" s="286">
        <v>0.51</v>
      </c>
      <c r="D6" s="286">
        <v>0.5</v>
      </c>
      <c r="E6" s="286">
        <v>0.5</v>
      </c>
      <c r="F6" s="286">
        <v>0.5</v>
      </c>
      <c r="G6" s="286">
        <v>0.47</v>
      </c>
      <c r="H6" s="285" t="s">
        <v>570</v>
      </c>
    </row>
    <row r="7" spans="1:8" ht="14.25" customHeight="1">
      <c r="A7" s="15" t="s">
        <v>571</v>
      </c>
      <c r="B7" s="174">
        <f t="shared" ref="B7:G7" si="0">B5*B6</f>
        <v>66753.899999999994</v>
      </c>
      <c r="C7" s="156">
        <f t="shared" si="0"/>
        <v>65004.6</v>
      </c>
      <c r="D7" s="156">
        <f t="shared" si="0"/>
        <v>61925</v>
      </c>
      <c r="E7" s="156">
        <f t="shared" si="0"/>
        <v>59785</v>
      </c>
      <c r="F7" s="156">
        <f t="shared" si="0"/>
        <v>58160</v>
      </c>
      <c r="G7" s="156">
        <f t="shared" si="0"/>
        <v>54322.6</v>
      </c>
    </row>
    <row r="8" spans="1:8" ht="14.25" customHeight="1">
      <c r="A8" s="15" t="s">
        <v>572</v>
      </c>
      <c r="B8" s="174">
        <f t="shared" ref="B8:G8" si="1">B5+B7</f>
        <v>197643.9</v>
      </c>
      <c r="C8" s="156">
        <f t="shared" si="1"/>
        <v>192464.6</v>
      </c>
      <c r="D8" s="156">
        <f t="shared" si="1"/>
        <v>185775</v>
      </c>
      <c r="E8" s="156">
        <f t="shared" si="1"/>
        <v>179355</v>
      </c>
      <c r="F8" s="156">
        <f t="shared" si="1"/>
        <v>174480</v>
      </c>
      <c r="G8" s="156">
        <f t="shared" si="1"/>
        <v>169902.6</v>
      </c>
    </row>
    <row r="9" spans="1:8" ht="14.25" customHeight="1"/>
    <row r="10" spans="1:8" ht="14.25" customHeight="1">
      <c r="A10" s="14" t="s">
        <v>573</v>
      </c>
    </row>
    <row r="11" spans="1:8" ht="14.25" customHeight="1"/>
    <row r="12" spans="1:8" ht="14.25" customHeight="1">
      <c r="B12" s="15">
        <v>2020</v>
      </c>
      <c r="C12" s="15">
        <v>2019</v>
      </c>
      <c r="D12" s="15">
        <v>2018</v>
      </c>
      <c r="E12" s="15">
        <v>2017</v>
      </c>
      <c r="F12" s="15">
        <v>2016</v>
      </c>
      <c r="G12" s="15">
        <v>2015</v>
      </c>
      <c r="H12" s="15" t="s">
        <v>566</v>
      </c>
    </row>
    <row r="13" spans="1:8" ht="14.25" customHeight="1">
      <c r="A13" s="15" t="s">
        <v>567</v>
      </c>
      <c r="B13" s="174">
        <v>89460</v>
      </c>
      <c r="C13" s="156">
        <v>88410</v>
      </c>
      <c r="D13" s="156">
        <v>87070</v>
      </c>
      <c r="E13" s="156">
        <v>86340</v>
      </c>
      <c r="F13" s="156">
        <v>84500</v>
      </c>
      <c r="G13" s="156">
        <v>82200</v>
      </c>
      <c r="H13" s="285" t="s">
        <v>568</v>
      </c>
    </row>
    <row r="14" spans="1:8" ht="14.25" customHeight="1">
      <c r="A14" s="15" t="s">
        <v>569</v>
      </c>
      <c r="B14" s="286">
        <v>0.51</v>
      </c>
      <c r="C14" s="286">
        <v>0.51</v>
      </c>
      <c r="D14" s="286">
        <v>0.5</v>
      </c>
      <c r="E14" s="286">
        <v>0.5</v>
      </c>
      <c r="F14" s="286">
        <v>0.5</v>
      </c>
      <c r="G14" s="286">
        <v>0.47</v>
      </c>
      <c r="H14" s="285" t="s">
        <v>570</v>
      </c>
    </row>
    <row r="15" spans="1:8" ht="14.25" customHeight="1">
      <c r="A15" s="15" t="s">
        <v>571</v>
      </c>
      <c r="B15" s="174">
        <f t="shared" ref="B15:G15" si="2">B13*B14</f>
        <v>45624.6</v>
      </c>
      <c r="C15" s="156">
        <f t="shared" si="2"/>
        <v>45089.1</v>
      </c>
      <c r="D15" s="156">
        <f t="shared" si="2"/>
        <v>43535</v>
      </c>
      <c r="E15" s="156">
        <f t="shared" si="2"/>
        <v>43170</v>
      </c>
      <c r="F15" s="156">
        <f t="shared" si="2"/>
        <v>42250</v>
      </c>
      <c r="G15" s="156">
        <f t="shared" si="2"/>
        <v>38634</v>
      </c>
    </row>
    <row r="16" spans="1:8" ht="14.25" customHeight="1">
      <c r="A16" s="15" t="s">
        <v>572</v>
      </c>
      <c r="B16" s="174">
        <f t="shared" ref="B16:G16" si="3">B13+B15</f>
        <v>135084.6</v>
      </c>
      <c r="C16" s="156">
        <f t="shared" si="3"/>
        <v>133499.1</v>
      </c>
      <c r="D16" s="156">
        <f t="shared" si="3"/>
        <v>130605</v>
      </c>
      <c r="E16" s="156">
        <f t="shared" si="3"/>
        <v>129510</v>
      </c>
      <c r="F16" s="156">
        <f t="shared" si="3"/>
        <v>126750</v>
      </c>
      <c r="G16" s="156">
        <f t="shared" si="3"/>
        <v>120834</v>
      </c>
    </row>
    <row r="17" spans="1:6" ht="14.25" customHeight="1"/>
    <row r="18" spans="1:6" ht="14.25" customHeight="1">
      <c r="A18" s="14" t="s">
        <v>574</v>
      </c>
      <c r="E18" s="287"/>
    </row>
    <row r="19" spans="1:6" ht="14.25" customHeight="1"/>
    <row r="20" spans="1:6" ht="14.25" customHeight="1">
      <c r="B20" s="15">
        <v>2013</v>
      </c>
      <c r="C20" s="15">
        <v>2016</v>
      </c>
      <c r="D20" s="15">
        <v>2018</v>
      </c>
      <c r="E20" s="15">
        <v>2020</v>
      </c>
      <c r="F20" s="15" t="s">
        <v>566</v>
      </c>
    </row>
    <row r="21" spans="1:6" ht="14.25" customHeight="1">
      <c r="A21" s="15" t="s">
        <v>575</v>
      </c>
      <c r="B21" s="177">
        <v>22</v>
      </c>
      <c r="C21" s="177"/>
      <c r="F21" s="287" t="s">
        <v>557</v>
      </c>
    </row>
    <row r="22" spans="1:6" ht="14.25" customHeight="1">
      <c r="A22" s="15" t="s">
        <v>575</v>
      </c>
      <c r="B22" s="177"/>
      <c r="C22" s="177">
        <v>15.56</v>
      </c>
      <c r="F22" s="15" t="s">
        <v>559</v>
      </c>
    </row>
    <row r="23" spans="1:6" ht="14.25" customHeight="1">
      <c r="A23" s="15" t="s">
        <v>576</v>
      </c>
      <c r="B23" s="177"/>
      <c r="C23" s="177">
        <v>15.56</v>
      </c>
      <c r="F23" s="287" t="s">
        <v>577</v>
      </c>
    </row>
    <row r="24" spans="1:6" ht="14.25" customHeight="1">
      <c r="A24" s="15" t="s">
        <v>576</v>
      </c>
      <c r="B24" s="177"/>
      <c r="C24" s="177"/>
      <c r="D24" s="173">
        <v>21.3</v>
      </c>
      <c r="F24" s="287" t="s">
        <v>577</v>
      </c>
    </row>
    <row r="25" spans="1:6" ht="14.25" customHeight="1">
      <c r="A25" s="15" t="s">
        <v>575</v>
      </c>
      <c r="B25" s="177"/>
      <c r="C25" s="177"/>
      <c r="D25" s="174"/>
      <c r="E25" s="174">
        <v>22</v>
      </c>
      <c r="F25" s="287" t="s">
        <v>578</v>
      </c>
    </row>
    <row r="26" spans="1:6" ht="14.25" customHeight="1">
      <c r="A26" s="15" t="s">
        <v>576</v>
      </c>
      <c r="D26" s="174"/>
      <c r="E26" s="174">
        <v>22</v>
      </c>
      <c r="F26" s="306" t="s">
        <v>624</v>
      </c>
    </row>
    <row r="27" spans="1:6" ht="14.25" customHeight="1"/>
    <row r="28" spans="1:6" ht="14.25" customHeight="1">
      <c r="A28" s="14" t="s">
        <v>579</v>
      </c>
    </row>
    <row r="29" spans="1:6" ht="14.25" customHeight="1">
      <c r="A29" s="285"/>
    </row>
    <row r="30" spans="1:6" ht="14.25" customHeight="1">
      <c r="A30" s="288" t="s">
        <v>580</v>
      </c>
    </row>
    <row r="31" spans="1:6" ht="14.25" customHeight="1">
      <c r="A31" s="289" t="s">
        <v>581</v>
      </c>
    </row>
    <row r="32" spans="1:6" ht="14.25" customHeight="1">
      <c r="A32" s="289" t="s">
        <v>582</v>
      </c>
    </row>
    <row r="33" spans="1:1" ht="14.25" customHeight="1">
      <c r="A33" s="3" t="s">
        <v>583</v>
      </c>
    </row>
    <row r="34" spans="1:1" ht="14.25" customHeight="1">
      <c r="A34" s="3" t="s">
        <v>584</v>
      </c>
    </row>
    <row r="35" spans="1:1" ht="14.25" customHeight="1">
      <c r="A35" s="3" t="s">
        <v>585</v>
      </c>
    </row>
    <row r="36" spans="1:1" ht="14.25" customHeight="1">
      <c r="A36" s="3" t="s">
        <v>586</v>
      </c>
    </row>
    <row r="37" spans="1:1" ht="14.25" customHeight="1">
      <c r="A37" s="3" t="s">
        <v>587</v>
      </c>
    </row>
    <row r="38" spans="1:1" ht="14.25" customHeight="1">
      <c r="A38" s="3" t="s">
        <v>588</v>
      </c>
    </row>
    <row r="39" spans="1:1" ht="14.25" customHeight="1">
      <c r="A39" s="3" t="s">
        <v>589</v>
      </c>
    </row>
    <row r="40" spans="1:1" ht="14.25" customHeight="1">
      <c r="A40" s="3" t="s">
        <v>590</v>
      </c>
    </row>
    <row r="41" spans="1:1" ht="14.25" customHeight="1">
      <c r="A41" s="3" t="s">
        <v>591</v>
      </c>
    </row>
    <row r="42" spans="1:1" ht="14.25" customHeight="1">
      <c r="A42" s="3"/>
    </row>
    <row r="43" spans="1:1" ht="14.25" customHeight="1">
      <c r="A43" s="15" t="s">
        <v>592</v>
      </c>
    </row>
    <row r="44" spans="1:1" ht="14.25" customHeight="1">
      <c r="A44" s="289" t="s">
        <v>593</v>
      </c>
    </row>
    <row r="45" spans="1:1" ht="14.25" customHeight="1">
      <c r="A45" s="3" t="s">
        <v>594</v>
      </c>
    </row>
    <row r="46" spans="1:1" ht="14.25" customHeight="1">
      <c r="A46" s="3" t="s">
        <v>595</v>
      </c>
    </row>
    <row r="47" spans="1:1" ht="14.25" customHeight="1">
      <c r="A47" s="3" t="s">
        <v>596</v>
      </c>
    </row>
    <row r="48" spans="1:1" ht="14.25" customHeight="1">
      <c r="A48" s="3" t="s">
        <v>597</v>
      </c>
    </row>
    <row r="49" spans="1:2" ht="14.25" customHeight="1"/>
    <row r="50" spans="1:2" ht="14.25" customHeight="1">
      <c r="A50" s="14"/>
      <c r="B50" s="3"/>
    </row>
    <row r="51" spans="1:2" ht="14.25" customHeight="1"/>
    <row r="52" spans="1:2" ht="14.25" customHeight="1">
      <c r="A52" s="3"/>
    </row>
    <row r="53" spans="1:2" ht="14.25" customHeight="1">
      <c r="A53" s="27"/>
    </row>
    <row r="54" spans="1:2" ht="14.25" customHeight="1">
      <c r="A54" s="3"/>
    </row>
    <row r="55" spans="1:2" ht="14.25" customHeight="1">
      <c r="A55" s="27"/>
    </row>
    <row r="56" spans="1:2" ht="14.25" customHeight="1">
      <c r="A56" s="27"/>
    </row>
    <row r="57" spans="1:2" ht="14.25" customHeight="1">
      <c r="A57" s="27"/>
    </row>
    <row r="58" spans="1:2" ht="14.25" customHeight="1">
      <c r="A58" s="27"/>
    </row>
    <row r="59" spans="1:2" ht="14.25" customHeight="1">
      <c r="A59" s="27"/>
    </row>
    <row r="60" spans="1:2" ht="14.25" customHeight="1"/>
    <row r="61" spans="1:2" ht="14.25" customHeight="1"/>
    <row r="62" spans="1:2" ht="14.25" customHeight="1"/>
    <row r="63" spans="1:2" ht="14.25" customHeight="1"/>
    <row r="64" spans="1: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ef="H5" r:id="rId1" xr:uid="{00000000-0004-0000-0E00-000000000000}"/>
    <hyperlink ref="H6" r:id="rId2" xr:uid="{00000000-0004-0000-0E00-000001000000}"/>
    <hyperlink ref="H13" r:id="rId3" xr:uid="{00000000-0004-0000-0E00-000002000000}"/>
    <hyperlink ref="H14" r:id="rId4" xr:uid="{00000000-0004-0000-0E00-000003000000}"/>
    <hyperlink ref="F21" r:id="rId5" xr:uid="{00000000-0004-0000-0E00-000004000000}"/>
    <hyperlink ref="F23" r:id="rId6" xr:uid="{00000000-0004-0000-0E00-000005000000}"/>
    <hyperlink ref="F24" r:id="rId7" xr:uid="{00000000-0004-0000-0E00-000006000000}"/>
    <hyperlink ref="F25" r:id="rId8" xr:uid="{00000000-0004-0000-0E00-000007000000}"/>
    <hyperlink ref="F26" r:id="rId9" location=":~:text=The%20cost%20of%20manually%20handling%20a%20help%20desk" xr:uid="{00000000-0004-0000-0E00-000008000000}"/>
  </hyperlinks>
  <pageMargins left="0.25" right="0.25" top="0.75" bottom="0.75" header="0.3" footer="0.3"/>
  <pageSetup orientation="landscape" r:id="rId1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00"/>
  <sheetViews>
    <sheetView workbookViewId="0"/>
  </sheetViews>
  <sheetFormatPr defaultColWidth="14.453125" defaultRowHeight="15" customHeight="1"/>
  <cols>
    <col min="1" max="1" width="18" customWidth="1"/>
    <col min="2" max="2" width="13.7265625" customWidth="1"/>
    <col min="3" max="3" width="13.26953125" customWidth="1"/>
    <col min="4" max="4" width="14" customWidth="1"/>
    <col min="5" max="5" width="14.08984375" customWidth="1"/>
    <col min="6" max="7" width="15.26953125" customWidth="1"/>
    <col min="8" max="26" width="8.7265625" customWidth="1"/>
  </cols>
  <sheetData>
    <row r="1" spans="1:7" ht="14.25" customHeight="1">
      <c r="A1" s="15" t="s">
        <v>598</v>
      </c>
    </row>
    <row r="2" spans="1:7" ht="14.25" customHeight="1"/>
    <row r="3" spans="1:7" ht="14.25" customHeight="1">
      <c r="A3" s="290" t="s">
        <v>599</v>
      </c>
      <c r="B3" s="290" t="s">
        <v>52</v>
      </c>
      <c r="C3" s="290" t="s">
        <v>53</v>
      </c>
      <c r="D3" s="290" t="s">
        <v>54</v>
      </c>
      <c r="E3" s="290" t="s">
        <v>55</v>
      </c>
      <c r="F3" s="290" t="s">
        <v>56</v>
      </c>
      <c r="G3" s="290" t="s">
        <v>57</v>
      </c>
    </row>
    <row r="4" spans="1:7" ht="47.25" customHeight="1">
      <c r="A4" s="291" t="s">
        <v>600</v>
      </c>
      <c r="B4" s="292" t="s">
        <v>601</v>
      </c>
      <c r="C4" s="292" t="s">
        <v>602</v>
      </c>
      <c r="D4" s="292" t="s">
        <v>603</v>
      </c>
      <c r="E4" s="293" t="s">
        <v>604</v>
      </c>
      <c r="F4" s="294" t="s">
        <v>605</v>
      </c>
      <c r="G4" s="294" t="s">
        <v>606</v>
      </c>
    </row>
    <row r="5" spans="1:7" ht="14.25" customHeight="1">
      <c r="A5" s="295" t="s">
        <v>607</v>
      </c>
      <c r="B5" s="296" t="s">
        <v>608</v>
      </c>
      <c r="C5" s="296" t="s">
        <v>609</v>
      </c>
      <c r="D5" s="296" t="s">
        <v>610</v>
      </c>
      <c r="E5" s="296" t="s">
        <v>611</v>
      </c>
      <c r="F5" s="297" t="s">
        <v>612</v>
      </c>
      <c r="G5" s="297" t="s">
        <v>613</v>
      </c>
    </row>
    <row r="6" spans="1:7" ht="14.25" customHeight="1">
      <c r="A6" s="295" t="s">
        <v>614</v>
      </c>
      <c r="B6" s="296" t="s">
        <v>615</v>
      </c>
      <c r="C6" s="296" t="s">
        <v>616</v>
      </c>
      <c r="D6" s="296" t="s">
        <v>617</v>
      </c>
      <c r="E6" s="296" t="s">
        <v>617</v>
      </c>
      <c r="F6" s="297" t="s">
        <v>618</v>
      </c>
      <c r="G6" s="297" t="s">
        <v>617</v>
      </c>
    </row>
    <row r="7" spans="1:7" ht="14.25" customHeight="1"/>
    <row r="8" spans="1:7" ht="14.25" customHeight="1"/>
    <row r="9" spans="1:7" ht="14.25" customHeight="1"/>
    <row r="10" spans="1:7" ht="14.25" customHeight="1"/>
    <row r="11" spans="1:7" ht="14.25" customHeight="1"/>
    <row r="12" spans="1:7" ht="14.25" customHeight="1"/>
    <row r="13" spans="1:7" ht="14.25" customHeight="1"/>
    <row r="14" spans="1:7" ht="14.25" customHeight="1"/>
    <row r="15" spans="1:7" ht="14.25" customHeight="1"/>
    <row r="16" spans="1: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53125" defaultRowHeight="15" customHeight="1"/>
  <cols>
    <col min="1" max="1" width="27.26953125" customWidth="1"/>
    <col min="2" max="2" width="12.453125" customWidth="1"/>
    <col min="3" max="3" width="12.7265625" customWidth="1"/>
    <col min="4" max="5" width="12.453125" customWidth="1"/>
    <col min="6" max="7" width="12.26953125" customWidth="1"/>
    <col min="8" max="8" width="14.26953125" customWidth="1"/>
    <col min="9" max="9" width="6.26953125" customWidth="1"/>
    <col min="10" max="10" width="25.453125" customWidth="1"/>
    <col min="11" max="11" width="12.54296875" customWidth="1"/>
    <col min="12" max="12" width="13.08984375" customWidth="1"/>
    <col min="13" max="15" width="12.26953125" customWidth="1"/>
    <col min="16" max="16" width="12.54296875" customWidth="1"/>
    <col min="17" max="17" width="13.26953125" customWidth="1"/>
    <col min="18" max="18" width="11.08984375" customWidth="1"/>
    <col min="19" max="26" width="8.7265625" customWidth="1"/>
  </cols>
  <sheetData>
    <row r="1" spans="1:26" ht="14.25" customHeight="1"/>
    <row r="2" spans="1:26" ht="14.25" customHeight="1">
      <c r="A2" s="15" t="s">
        <v>49</v>
      </c>
    </row>
    <row r="3" spans="1:26" ht="22.5" customHeight="1">
      <c r="A3" s="307" t="s">
        <v>50</v>
      </c>
      <c r="B3" s="308"/>
      <c r="C3" s="308"/>
      <c r="D3" s="308"/>
      <c r="E3" s="308"/>
      <c r="F3" s="308"/>
      <c r="G3" s="308"/>
      <c r="H3" s="309"/>
      <c r="J3" s="307" t="s">
        <v>50</v>
      </c>
      <c r="K3" s="308"/>
      <c r="L3" s="308"/>
      <c r="M3" s="308"/>
      <c r="N3" s="308"/>
      <c r="O3" s="308"/>
      <c r="P3" s="308"/>
      <c r="Q3" s="309"/>
    </row>
    <row r="4" spans="1:26" ht="14.25" customHeight="1">
      <c r="A4" s="17" t="s">
        <v>51</v>
      </c>
      <c r="B4" s="18" t="s">
        <v>52</v>
      </c>
      <c r="C4" s="18" t="s">
        <v>53</v>
      </c>
      <c r="D4" s="18" t="s">
        <v>54</v>
      </c>
      <c r="E4" s="18" t="s">
        <v>55</v>
      </c>
      <c r="F4" s="19" t="s">
        <v>56</v>
      </c>
      <c r="G4" s="18" t="s">
        <v>57</v>
      </c>
      <c r="H4" s="20" t="s">
        <v>58</v>
      </c>
      <c r="I4" s="21"/>
      <c r="J4" s="17" t="s">
        <v>51</v>
      </c>
      <c r="K4" s="18" t="s">
        <v>52</v>
      </c>
      <c r="L4" s="18" t="s">
        <v>53</v>
      </c>
      <c r="M4" s="18" t="s">
        <v>54</v>
      </c>
      <c r="N4" s="18" t="s">
        <v>55</v>
      </c>
      <c r="O4" s="19" t="s">
        <v>56</v>
      </c>
      <c r="P4" s="18" t="s">
        <v>57</v>
      </c>
      <c r="Q4" s="20" t="s">
        <v>58</v>
      </c>
    </row>
    <row r="5" spans="1:26" ht="15" customHeight="1">
      <c r="A5" s="22" t="s">
        <v>59</v>
      </c>
      <c r="B5" s="23">
        <v>15948215</v>
      </c>
      <c r="C5" s="23">
        <v>12818846</v>
      </c>
      <c r="D5" s="23">
        <v>7241488</v>
      </c>
      <c r="E5" s="24">
        <v>10207774</v>
      </c>
      <c r="F5" s="25">
        <v>12118883</v>
      </c>
      <c r="G5" s="24">
        <v>12084090.156648653</v>
      </c>
      <c r="H5" s="26">
        <f t="shared" ref="H5:H8" si="0">SUM(B5:G5)</f>
        <v>70419296.156648651</v>
      </c>
      <c r="I5" s="27"/>
      <c r="J5" s="22" t="s">
        <v>59</v>
      </c>
      <c r="K5" s="23">
        <v>15948215</v>
      </c>
      <c r="L5" s="23">
        <v>12818846</v>
      </c>
      <c r="M5" s="23">
        <v>7241488</v>
      </c>
      <c r="N5" s="24">
        <v>10207774</v>
      </c>
      <c r="O5" s="25">
        <v>12118883</v>
      </c>
      <c r="P5" s="24">
        <v>12084090.156648653</v>
      </c>
      <c r="Q5" s="26">
        <f t="shared" ref="Q5:Q8" si="1">SUM(K5:P5)</f>
        <v>70419296.156648651</v>
      </c>
    </row>
    <row r="6" spans="1:26" ht="14.25" customHeight="1">
      <c r="A6" s="28" t="s">
        <v>60</v>
      </c>
      <c r="B6" s="29">
        <v>1104111</v>
      </c>
      <c r="C6" s="29">
        <v>1107633</v>
      </c>
      <c r="D6" s="29">
        <v>1753718</v>
      </c>
      <c r="E6" s="29">
        <v>5056986</v>
      </c>
      <c r="F6" s="30">
        <v>4221851</v>
      </c>
      <c r="G6" s="29">
        <v>2926801.2915167045</v>
      </c>
      <c r="H6" s="26">
        <f t="shared" si="0"/>
        <v>16171100.291516704</v>
      </c>
      <c r="I6" s="27"/>
      <c r="J6" s="28" t="s">
        <v>60</v>
      </c>
      <c r="K6" s="29">
        <v>1104111</v>
      </c>
      <c r="L6" s="29">
        <v>1107633</v>
      </c>
      <c r="M6" s="29">
        <v>1753718</v>
      </c>
      <c r="N6" s="29">
        <v>5056986</v>
      </c>
      <c r="O6" s="30">
        <v>4221851</v>
      </c>
      <c r="P6" s="29">
        <v>2926801.2915167045</v>
      </c>
      <c r="Q6" s="26">
        <f t="shared" si="1"/>
        <v>16171100.291516704</v>
      </c>
    </row>
    <row r="7" spans="1:26" ht="14.25" customHeight="1">
      <c r="A7" s="28" t="s">
        <v>61</v>
      </c>
      <c r="B7" s="29">
        <v>756097</v>
      </c>
      <c r="C7" s="29">
        <v>949783</v>
      </c>
      <c r="D7" s="29">
        <v>6424825</v>
      </c>
      <c r="E7" s="29">
        <v>6135790</v>
      </c>
      <c r="F7" s="30">
        <v>6288023</v>
      </c>
      <c r="G7" s="29">
        <v>6234167.8183165304</v>
      </c>
      <c r="H7" s="26">
        <f t="shared" si="0"/>
        <v>26788685.81831653</v>
      </c>
      <c r="I7" s="27"/>
      <c r="J7" s="28" t="s">
        <v>61</v>
      </c>
      <c r="K7" s="29">
        <v>756097</v>
      </c>
      <c r="L7" s="29">
        <v>949783</v>
      </c>
      <c r="M7" s="29">
        <v>6424825</v>
      </c>
      <c r="N7" s="29">
        <v>6135790</v>
      </c>
      <c r="O7" s="30">
        <v>6288023</v>
      </c>
      <c r="P7" s="29">
        <v>6234167.8183165304</v>
      </c>
      <c r="Q7" s="26">
        <f t="shared" si="1"/>
        <v>26788685.81831653</v>
      </c>
    </row>
    <row r="8" spans="1:26" ht="14.25" customHeight="1">
      <c r="A8" s="31" t="s">
        <v>62</v>
      </c>
      <c r="B8" s="32">
        <f t="shared" ref="B8:G8" si="2">SUM(B5,B6,B7)</f>
        <v>17808423</v>
      </c>
      <c r="C8" s="32">
        <f t="shared" si="2"/>
        <v>14876262</v>
      </c>
      <c r="D8" s="32">
        <f t="shared" si="2"/>
        <v>15420031</v>
      </c>
      <c r="E8" s="32">
        <f t="shared" si="2"/>
        <v>21400550</v>
      </c>
      <c r="F8" s="33">
        <f t="shared" si="2"/>
        <v>22628757</v>
      </c>
      <c r="G8" s="32">
        <f t="shared" si="2"/>
        <v>21245059.266481888</v>
      </c>
      <c r="H8" s="26">
        <f t="shared" si="0"/>
        <v>113379082.26648189</v>
      </c>
      <c r="I8" s="34"/>
      <c r="J8" s="31" t="s">
        <v>62</v>
      </c>
      <c r="K8" s="32">
        <f t="shared" ref="K8:P8" si="3">SUM(K5,K6,K7)</f>
        <v>17808423</v>
      </c>
      <c r="L8" s="32">
        <f t="shared" si="3"/>
        <v>14876262</v>
      </c>
      <c r="M8" s="32">
        <f t="shared" si="3"/>
        <v>15420031</v>
      </c>
      <c r="N8" s="32">
        <f t="shared" si="3"/>
        <v>21400550</v>
      </c>
      <c r="O8" s="33">
        <f t="shared" si="3"/>
        <v>22628757</v>
      </c>
      <c r="P8" s="32">
        <f t="shared" si="3"/>
        <v>21245059.266481888</v>
      </c>
      <c r="Q8" s="26">
        <f t="shared" si="1"/>
        <v>113379082.26648189</v>
      </c>
      <c r="R8" s="34"/>
      <c r="S8" s="34"/>
      <c r="T8" s="34"/>
      <c r="U8" s="34"/>
      <c r="V8" s="34"/>
      <c r="W8" s="34"/>
      <c r="X8" s="34"/>
      <c r="Y8" s="34"/>
      <c r="Z8" s="34"/>
    </row>
    <row r="9" spans="1:26" ht="14.25" customHeight="1">
      <c r="A9" s="31"/>
      <c r="B9" s="32"/>
      <c r="C9" s="32"/>
      <c r="D9" s="32"/>
      <c r="E9" s="32"/>
      <c r="F9" s="33"/>
      <c r="G9" s="32"/>
      <c r="H9" s="26"/>
      <c r="I9" s="34"/>
      <c r="J9" s="34"/>
      <c r="K9" s="34"/>
      <c r="L9" s="34"/>
      <c r="M9" s="34"/>
      <c r="N9" s="34"/>
      <c r="O9" s="34"/>
      <c r="P9" s="34"/>
      <c r="Q9" s="34"/>
      <c r="R9" s="34"/>
      <c r="S9" s="34"/>
      <c r="T9" s="34"/>
      <c r="U9" s="34"/>
      <c r="V9" s="34"/>
      <c r="W9" s="34"/>
      <c r="X9" s="34"/>
      <c r="Y9" s="34"/>
      <c r="Z9" s="34"/>
    </row>
    <row r="10" spans="1:26" ht="14.25" customHeight="1">
      <c r="A10" s="35" t="s">
        <v>63</v>
      </c>
      <c r="B10" s="29">
        <v>7822617.291666666</v>
      </c>
      <c r="C10" s="29">
        <v>14912466.333333332</v>
      </c>
      <c r="D10" s="29">
        <v>9032970</v>
      </c>
      <c r="E10" s="29">
        <v>12165786</v>
      </c>
      <c r="F10" s="30">
        <v>11797278.044166669</v>
      </c>
      <c r="G10" s="29">
        <v>13696722.27</v>
      </c>
      <c r="H10" s="26">
        <f>SUM(B10:G10)</f>
        <v>69427839.939166665</v>
      </c>
      <c r="I10" s="3"/>
      <c r="J10" s="35" t="s">
        <v>63</v>
      </c>
      <c r="K10" s="29">
        <v>7822617.291666666</v>
      </c>
      <c r="L10" s="29">
        <v>14912466.333333332</v>
      </c>
      <c r="M10" s="29">
        <v>9032970</v>
      </c>
      <c r="N10" s="29">
        <v>12165786</v>
      </c>
      <c r="O10" s="30">
        <v>11797278.044166669</v>
      </c>
      <c r="P10" s="29">
        <v>13696722.27</v>
      </c>
      <c r="Q10" s="26">
        <f t="shared" ref="Q10:Q12" si="4">SUM(K10:P10)</f>
        <v>69427839.939166665</v>
      </c>
      <c r="R10" s="3"/>
      <c r="S10" s="3"/>
      <c r="T10" s="3"/>
      <c r="U10" s="3"/>
      <c r="V10" s="3"/>
      <c r="W10" s="3"/>
      <c r="X10" s="3"/>
      <c r="Y10" s="3"/>
      <c r="Z10" s="3"/>
    </row>
    <row r="11" spans="1:26" ht="14.25" customHeight="1">
      <c r="A11" s="31" t="s">
        <v>64</v>
      </c>
      <c r="B11" s="32"/>
      <c r="C11" s="32"/>
      <c r="D11" s="32"/>
      <c r="E11" s="36"/>
      <c r="F11" s="37"/>
      <c r="G11" s="36"/>
      <c r="H11" s="26"/>
      <c r="I11" s="34"/>
      <c r="J11" s="35" t="s">
        <v>65</v>
      </c>
      <c r="K11" s="38" t="s">
        <v>66</v>
      </c>
      <c r="L11" s="29">
        <v>101156</v>
      </c>
      <c r="M11" s="29">
        <v>112281</v>
      </c>
      <c r="N11" s="38">
        <v>125320</v>
      </c>
      <c r="O11" s="39">
        <v>120077</v>
      </c>
      <c r="P11" s="38">
        <v>120208</v>
      </c>
      <c r="Q11" s="26">
        <f t="shared" si="4"/>
        <v>579042</v>
      </c>
      <c r="R11" s="34"/>
      <c r="S11" s="34"/>
      <c r="T11" s="34"/>
      <c r="U11" s="34"/>
      <c r="V11" s="34"/>
      <c r="W11" s="34"/>
      <c r="X11" s="34"/>
      <c r="Y11" s="34"/>
      <c r="Z11" s="34"/>
    </row>
    <row r="12" spans="1:26" ht="14.25" customHeight="1">
      <c r="A12" s="31"/>
      <c r="B12" s="32"/>
      <c r="C12" s="32"/>
      <c r="D12" s="32"/>
      <c r="E12" s="36"/>
      <c r="F12" s="37"/>
      <c r="G12" s="36"/>
      <c r="H12" s="26"/>
      <c r="I12" s="34"/>
      <c r="J12" s="35" t="s">
        <v>67</v>
      </c>
      <c r="K12" s="38">
        <v>546680</v>
      </c>
      <c r="L12" s="38">
        <v>828358.52</v>
      </c>
      <c r="M12" s="38">
        <v>549189.6</v>
      </c>
      <c r="N12" s="38">
        <v>585134.15999999992</v>
      </c>
      <c r="O12" s="39">
        <v>599744.68999999994</v>
      </c>
      <c r="P12" s="38">
        <v>622415.71</v>
      </c>
      <c r="Q12" s="26">
        <f t="shared" si="4"/>
        <v>3731522.68</v>
      </c>
      <c r="R12" s="34"/>
      <c r="S12" s="34"/>
      <c r="T12" s="34"/>
      <c r="U12" s="34"/>
      <c r="V12" s="34"/>
      <c r="W12" s="34"/>
      <c r="X12" s="34"/>
      <c r="Y12" s="34"/>
      <c r="Z12" s="34"/>
    </row>
    <row r="13" spans="1:26" ht="14.25" customHeight="1">
      <c r="A13" s="35" t="s">
        <v>65</v>
      </c>
      <c r="B13" s="38" t="s">
        <v>66</v>
      </c>
      <c r="C13" s="29">
        <v>101156</v>
      </c>
      <c r="D13" s="29">
        <v>112281</v>
      </c>
      <c r="E13" s="38">
        <v>125320</v>
      </c>
      <c r="F13" s="39">
        <v>120077</v>
      </c>
      <c r="G13" s="38">
        <v>120208</v>
      </c>
      <c r="H13" s="26">
        <f>SUM(B13:G13)</f>
        <v>579042</v>
      </c>
      <c r="I13" s="3"/>
    </row>
    <row r="14" spans="1:26" ht="14.25" customHeight="1">
      <c r="A14" s="31" t="s">
        <v>68</v>
      </c>
      <c r="B14" s="32"/>
      <c r="C14" s="32"/>
      <c r="D14" s="32"/>
      <c r="E14" s="36"/>
      <c r="F14" s="37"/>
      <c r="G14" s="36"/>
      <c r="H14" s="26"/>
      <c r="I14" s="34"/>
      <c r="J14" s="35" t="s">
        <v>69</v>
      </c>
      <c r="K14" s="38">
        <v>29393</v>
      </c>
      <c r="L14" s="38">
        <v>33969</v>
      </c>
      <c r="M14" s="38">
        <v>41961</v>
      </c>
      <c r="N14" s="38">
        <v>48259</v>
      </c>
      <c r="O14" s="39">
        <v>35945</v>
      </c>
      <c r="P14" s="38">
        <v>26347.58985</v>
      </c>
      <c r="Q14" s="26">
        <f t="shared" ref="Q14:Q15" si="5">SUM(K14:P14)</f>
        <v>215874.58984999999</v>
      </c>
      <c r="R14" s="34"/>
      <c r="S14" s="34"/>
      <c r="T14" s="34"/>
      <c r="U14" s="34"/>
      <c r="V14" s="34"/>
      <c r="W14" s="34"/>
      <c r="X14" s="34"/>
      <c r="Y14" s="34"/>
      <c r="Z14" s="34"/>
    </row>
    <row r="15" spans="1:26" ht="14.25" customHeight="1">
      <c r="A15" s="35"/>
      <c r="B15" s="29"/>
      <c r="C15" s="29"/>
      <c r="D15" s="29"/>
      <c r="E15" s="38"/>
      <c r="F15" s="39"/>
      <c r="G15" s="38"/>
      <c r="H15" s="26"/>
      <c r="I15" s="3"/>
      <c r="J15" s="35" t="s">
        <v>70</v>
      </c>
      <c r="K15" s="38">
        <v>39667</v>
      </c>
      <c r="L15" s="38">
        <v>115910</v>
      </c>
      <c r="M15" s="38">
        <v>120722</v>
      </c>
      <c r="N15" s="38">
        <v>236626</v>
      </c>
      <c r="O15" s="39">
        <v>191351</v>
      </c>
      <c r="P15" s="38">
        <v>135036</v>
      </c>
      <c r="Q15" s="26">
        <f t="shared" si="5"/>
        <v>839312</v>
      </c>
    </row>
    <row r="16" spans="1:26" ht="14.25" customHeight="1">
      <c r="A16" s="35" t="s">
        <v>67</v>
      </c>
      <c r="B16" s="38">
        <v>546680</v>
      </c>
      <c r="C16" s="38">
        <v>828358.52</v>
      </c>
      <c r="D16" s="38">
        <v>549189.6</v>
      </c>
      <c r="E16" s="38">
        <v>585134.15999999992</v>
      </c>
      <c r="F16" s="39">
        <v>599744.68999999994</v>
      </c>
      <c r="G16" s="38">
        <v>622415.71</v>
      </c>
      <c r="H16" s="26">
        <f>SUM(B16:G16)</f>
        <v>3731522.68</v>
      </c>
      <c r="I16" s="3"/>
      <c r="J16" s="31" t="s">
        <v>71</v>
      </c>
      <c r="K16" s="36">
        <f t="shared" ref="K16:Q16" si="6">K14+K15</f>
        <v>69060</v>
      </c>
      <c r="L16" s="36">
        <f t="shared" si="6"/>
        <v>149879</v>
      </c>
      <c r="M16" s="36">
        <f t="shared" si="6"/>
        <v>162683</v>
      </c>
      <c r="N16" s="36">
        <f t="shared" si="6"/>
        <v>284885</v>
      </c>
      <c r="O16" s="37">
        <f t="shared" si="6"/>
        <v>227296</v>
      </c>
      <c r="P16" s="36">
        <f t="shared" si="6"/>
        <v>161383.58984999999</v>
      </c>
      <c r="Q16" s="40">
        <f t="shared" si="6"/>
        <v>1055186.5898500001</v>
      </c>
    </row>
    <row r="17" spans="1:26" ht="14.25" customHeight="1">
      <c r="A17" s="31" t="s">
        <v>72</v>
      </c>
      <c r="B17" s="36"/>
      <c r="C17" s="36"/>
      <c r="D17" s="36"/>
      <c r="E17" s="36"/>
      <c r="F17" s="37"/>
      <c r="G17" s="36"/>
      <c r="H17" s="26"/>
      <c r="I17" s="34"/>
      <c r="J17" s="34"/>
      <c r="K17" s="34"/>
      <c r="L17" s="34"/>
      <c r="M17" s="34"/>
      <c r="N17" s="34"/>
      <c r="O17" s="34"/>
      <c r="P17" s="34"/>
      <c r="Q17" s="34"/>
      <c r="S17" s="34"/>
      <c r="T17" s="34"/>
      <c r="U17" s="34"/>
      <c r="V17" s="34"/>
      <c r="W17" s="34"/>
      <c r="X17" s="34"/>
      <c r="Y17" s="34"/>
      <c r="Z17" s="34"/>
    </row>
    <row r="18" spans="1:26" ht="14.25" customHeight="1">
      <c r="A18" s="35"/>
      <c r="B18" s="38"/>
      <c r="C18" s="38"/>
      <c r="D18" s="38"/>
      <c r="E18" s="38"/>
      <c r="F18" s="39"/>
      <c r="G18" s="38"/>
      <c r="H18" s="26"/>
      <c r="I18" s="3"/>
      <c r="J18" s="41" t="s">
        <v>73</v>
      </c>
      <c r="K18" s="42">
        <f t="shared" ref="K18:L18" si="7">SUM(K8,K10,K11,K12,K16)</f>
        <v>26246780.291666664</v>
      </c>
      <c r="L18" s="43">
        <f t="shared" si="7"/>
        <v>30868121.853333332</v>
      </c>
      <c r="M18" s="44">
        <f t="shared" ref="M18:N18" si="8">SUM(M8,M10,M11,M12,M16)</f>
        <v>25277154.600000001</v>
      </c>
      <c r="N18" s="43">
        <f t="shared" si="8"/>
        <v>34561675.159999996</v>
      </c>
      <c r="O18" s="44">
        <f t="shared" ref="O18:P18" si="9">SUM(O8,O10,O11,O12,O16)</f>
        <v>35373152.734166667</v>
      </c>
      <c r="P18" s="43">
        <f t="shared" si="9"/>
        <v>35845788.836331889</v>
      </c>
      <c r="Q18" s="45">
        <f t="shared" ref="Q18:Q19" si="10">SUM(K18:P18)</f>
        <v>188172673.47549856</v>
      </c>
    </row>
    <row r="19" spans="1:26" ht="14.25" customHeight="1">
      <c r="A19" s="35" t="s">
        <v>69</v>
      </c>
      <c r="B19" s="38">
        <v>29393</v>
      </c>
      <c r="C19" s="38">
        <v>33969</v>
      </c>
      <c r="D19" s="38">
        <v>41961</v>
      </c>
      <c r="E19" s="38">
        <v>48259</v>
      </c>
      <c r="F19" s="39">
        <v>35945</v>
      </c>
      <c r="G19" s="38">
        <v>26347.58985</v>
      </c>
      <c r="H19" s="26">
        <f t="shared" ref="H19:H20" si="11">SUM(B19:G19)</f>
        <v>215874.58984999999</v>
      </c>
      <c r="I19" s="3"/>
      <c r="J19" s="46" t="s">
        <v>74</v>
      </c>
      <c r="K19" s="43">
        <v>26563247</v>
      </c>
      <c r="L19" s="43">
        <v>21036395</v>
      </c>
      <c r="M19" s="43">
        <v>18285622</v>
      </c>
      <c r="N19" s="43">
        <v>19561588</v>
      </c>
      <c r="O19" s="42">
        <v>19993698</v>
      </c>
      <c r="P19" s="43">
        <v>20188775.82</v>
      </c>
      <c r="Q19" s="47">
        <f t="shared" si="10"/>
        <v>125629325.81999999</v>
      </c>
    </row>
    <row r="20" spans="1:26" ht="14.25" customHeight="1">
      <c r="A20" s="35" t="s">
        <v>70</v>
      </c>
      <c r="B20" s="38">
        <v>39667</v>
      </c>
      <c r="C20" s="38">
        <v>115910</v>
      </c>
      <c r="D20" s="38">
        <v>120722</v>
      </c>
      <c r="E20" s="38">
        <v>236626</v>
      </c>
      <c r="F20" s="39">
        <v>191351</v>
      </c>
      <c r="G20" s="38">
        <v>135036</v>
      </c>
      <c r="H20" s="26">
        <f t="shared" si="11"/>
        <v>839312</v>
      </c>
      <c r="I20" s="3"/>
      <c r="J20" s="48" t="s">
        <v>75</v>
      </c>
      <c r="K20" s="49">
        <f t="shared" ref="K20:Q20" si="12">K18/K19</f>
        <v>0.98808629425712391</v>
      </c>
      <c r="L20" s="49">
        <f t="shared" si="12"/>
        <v>1.4673674768577663</v>
      </c>
      <c r="M20" s="49">
        <f t="shared" si="12"/>
        <v>1.3823513687420641</v>
      </c>
      <c r="N20" s="49">
        <f t="shared" si="12"/>
        <v>1.7668133670947368</v>
      </c>
      <c r="O20" s="50">
        <f t="shared" si="12"/>
        <v>1.7692151163915084</v>
      </c>
      <c r="P20" s="49">
        <f t="shared" si="12"/>
        <v>1.7755305797601297</v>
      </c>
      <c r="Q20" s="51">
        <f t="shared" si="12"/>
        <v>1.4978403509472766</v>
      </c>
    </row>
    <row r="21" spans="1:26" ht="14.25" customHeight="1">
      <c r="A21" s="31" t="s">
        <v>71</v>
      </c>
      <c r="B21" s="36">
        <f t="shared" ref="B21:H21" si="13">B19+B20</f>
        <v>69060</v>
      </c>
      <c r="C21" s="36">
        <f t="shared" si="13"/>
        <v>149879</v>
      </c>
      <c r="D21" s="36">
        <f t="shared" si="13"/>
        <v>162683</v>
      </c>
      <c r="E21" s="36">
        <f t="shared" si="13"/>
        <v>284885</v>
      </c>
      <c r="F21" s="37">
        <f t="shared" si="13"/>
        <v>227296</v>
      </c>
      <c r="G21" s="36">
        <f t="shared" si="13"/>
        <v>161383.58984999999</v>
      </c>
      <c r="H21" s="40">
        <f t="shared" si="13"/>
        <v>1055186.5898500001</v>
      </c>
      <c r="I21" s="34"/>
      <c r="S21" s="34"/>
      <c r="T21" s="34"/>
      <c r="U21" s="34"/>
      <c r="V21" s="34"/>
      <c r="W21" s="34"/>
      <c r="X21" s="34"/>
      <c r="Y21" s="34"/>
      <c r="Z21" s="34"/>
    </row>
    <row r="22" spans="1:26" ht="14.25" customHeight="1">
      <c r="A22" s="52"/>
      <c r="B22" s="53"/>
      <c r="C22" s="53"/>
      <c r="D22" s="53"/>
      <c r="E22" s="53"/>
      <c r="F22" s="54"/>
      <c r="G22" s="53"/>
      <c r="H22" s="55"/>
      <c r="I22" s="3"/>
    </row>
    <row r="23" spans="1:26" ht="14.25" customHeight="1">
      <c r="A23" s="41" t="s">
        <v>73</v>
      </c>
      <c r="B23" s="42">
        <f t="shared" ref="B23:C23" si="14">SUM(B8,B10,B13,B16,B21)</f>
        <v>26246780.291666664</v>
      </c>
      <c r="C23" s="43">
        <f t="shared" si="14"/>
        <v>30868121.853333332</v>
      </c>
      <c r="D23" s="44">
        <f t="shared" ref="D23:E23" si="15">SUM(D8,D10,D13,D16,D21)</f>
        <v>25277154.600000001</v>
      </c>
      <c r="E23" s="43">
        <f t="shared" si="15"/>
        <v>34561675.159999996</v>
      </c>
      <c r="F23" s="44">
        <f t="shared" ref="F23:G23" si="16">SUM(F8,F10,F13,F16,F21)</f>
        <v>35373152.734166667</v>
      </c>
      <c r="G23" s="43">
        <f t="shared" si="16"/>
        <v>35845788.836331889</v>
      </c>
      <c r="H23" s="45">
        <f t="shared" ref="H23:H24" si="17">SUM(B23:G23)</f>
        <v>188172673.47549856</v>
      </c>
      <c r="I23" s="3"/>
    </row>
    <row r="24" spans="1:26" ht="14.25" customHeight="1">
      <c r="A24" s="46" t="s">
        <v>74</v>
      </c>
      <c r="B24" s="43">
        <v>26563247</v>
      </c>
      <c r="C24" s="43">
        <v>21036395</v>
      </c>
      <c r="D24" s="43">
        <v>18285622</v>
      </c>
      <c r="E24" s="43">
        <v>19561588</v>
      </c>
      <c r="F24" s="42">
        <v>19993698</v>
      </c>
      <c r="G24" s="43">
        <v>20188775.82</v>
      </c>
      <c r="H24" s="47">
        <f t="shared" si="17"/>
        <v>125629325.81999999</v>
      </c>
      <c r="I24" s="34"/>
      <c r="S24" s="34"/>
      <c r="T24" s="34"/>
      <c r="U24" s="34"/>
      <c r="V24" s="34"/>
      <c r="W24" s="34"/>
      <c r="X24" s="34"/>
      <c r="Y24" s="34"/>
      <c r="Z24" s="34"/>
    </row>
    <row r="25" spans="1:26" ht="14.25" customHeight="1">
      <c r="A25" s="48" t="s">
        <v>75</v>
      </c>
      <c r="B25" s="49">
        <f t="shared" ref="B25:H25" si="18">B23/B24</f>
        <v>0.98808629425712391</v>
      </c>
      <c r="C25" s="49">
        <f t="shared" si="18"/>
        <v>1.4673674768577663</v>
      </c>
      <c r="D25" s="49">
        <f t="shared" si="18"/>
        <v>1.3823513687420641</v>
      </c>
      <c r="E25" s="49">
        <f t="shared" si="18"/>
        <v>1.7668133670947368</v>
      </c>
      <c r="F25" s="50">
        <f t="shared" si="18"/>
        <v>1.7692151163915084</v>
      </c>
      <c r="G25" s="49">
        <f t="shared" si="18"/>
        <v>1.7755305797601297</v>
      </c>
      <c r="H25" s="51">
        <f t="shared" si="18"/>
        <v>1.4978403509472766</v>
      </c>
      <c r="I25" s="34"/>
      <c r="S25" s="34"/>
      <c r="T25" s="34"/>
      <c r="U25" s="34"/>
      <c r="V25" s="34"/>
      <c r="W25" s="34"/>
      <c r="X25" s="34"/>
      <c r="Y25" s="34"/>
      <c r="Z25" s="34"/>
    </row>
    <row r="26" spans="1:26" ht="14.25" customHeight="1">
      <c r="I26" s="3"/>
    </row>
    <row r="27" spans="1:26" ht="14.25" customHeight="1">
      <c r="B27" s="56"/>
      <c r="C27" s="56"/>
      <c r="I27" s="34"/>
      <c r="S27" s="34"/>
      <c r="T27" s="34"/>
      <c r="U27" s="34"/>
      <c r="V27" s="34"/>
      <c r="W27" s="34"/>
      <c r="X27" s="34"/>
      <c r="Y27" s="34"/>
      <c r="Z27" s="34"/>
    </row>
    <row r="28" spans="1:26" ht="14.25" customHeight="1">
      <c r="I28" s="3"/>
    </row>
    <row r="29" spans="1:26" ht="14.25" customHeight="1">
      <c r="I29" s="3"/>
    </row>
    <row r="30" spans="1:26" ht="14.25" customHeight="1">
      <c r="I30" s="34"/>
      <c r="S30" s="34"/>
      <c r="T30" s="34"/>
      <c r="U30" s="34"/>
      <c r="V30" s="34"/>
      <c r="W30" s="34"/>
      <c r="X30" s="34"/>
      <c r="Y30" s="34"/>
      <c r="Z30" s="34"/>
    </row>
    <row r="31" spans="1:26" ht="14.25" customHeight="1">
      <c r="I31" s="34"/>
      <c r="S31" s="34"/>
      <c r="T31" s="34"/>
      <c r="U31" s="34"/>
      <c r="V31" s="34"/>
      <c r="W31" s="34"/>
      <c r="X31" s="34"/>
      <c r="Y31" s="34"/>
      <c r="Z31" s="34"/>
    </row>
    <row r="32" spans="1:26" ht="14.25" customHeight="1">
      <c r="I32" s="3"/>
    </row>
    <row r="33" spans="9:26" ht="14.25" customHeight="1">
      <c r="I33" s="3"/>
    </row>
    <row r="34" spans="9:26" ht="14.25" customHeight="1">
      <c r="I34" s="14"/>
      <c r="R34" s="14"/>
      <c r="S34" s="14"/>
      <c r="T34" s="14"/>
      <c r="U34" s="14"/>
      <c r="V34" s="14"/>
      <c r="W34" s="14"/>
      <c r="X34" s="14"/>
      <c r="Y34" s="14"/>
      <c r="Z34" s="14"/>
    </row>
    <row r="35" spans="9:26" ht="14.25" customHeight="1"/>
    <row r="36" spans="9:26" ht="14.25" customHeight="1"/>
    <row r="37" spans="9:26" ht="14.25" customHeight="1"/>
    <row r="38" spans="9:26" ht="14.25" customHeight="1"/>
    <row r="39" spans="9:26" ht="14.25" customHeight="1"/>
    <row r="40" spans="9:26" ht="14.25" customHeight="1"/>
    <row r="41" spans="9:26" ht="14.25" customHeight="1"/>
    <row r="42" spans="9:26" ht="14.25" customHeight="1"/>
    <row r="43" spans="9:26" ht="14.25" customHeight="1"/>
    <row r="44" spans="9:26" ht="14.25" customHeight="1"/>
    <row r="45" spans="9:26" ht="14.25" customHeight="1"/>
    <row r="46" spans="9:26" ht="14.25" customHeight="1"/>
    <row r="47" spans="9:26" ht="14.25" customHeight="1"/>
    <row r="48" spans="9:2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3:H3"/>
    <mergeCell ref="J3:Q3"/>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53125" defaultRowHeight="15" customHeight="1"/>
  <cols>
    <col min="1" max="1" width="26.7265625" customWidth="1"/>
    <col min="2" max="2" width="12.7265625" customWidth="1"/>
    <col min="3" max="3" width="8.26953125" customWidth="1"/>
    <col min="4" max="4" width="15.453125" customWidth="1"/>
    <col min="5" max="5" width="0.7265625" customWidth="1"/>
    <col min="6" max="6" width="7.7265625" customWidth="1"/>
    <col min="7" max="7" width="7.26953125" customWidth="1"/>
    <col min="8" max="8" width="11.54296875" customWidth="1"/>
    <col min="9" max="9" width="13.81640625" customWidth="1"/>
    <col min="10" max="10" width="14.26953125" customWidth="1"/>
    <col min="11" max="11" width="0.7265625" customWidth="1"/>
    <col min="12" max="12" width="8" customWidth="1"/>
    <col min="13" max="13" width="7.26953125" customWidth="1"/>
    <col min="14" max="14" width="8.7265625" customWidth="1"/>
    <col min="15" max="15" width="11.26953125" customWidth="1"/>
    <col min="16" max="16" width="10.7265625" customWidth="1"/>
    <col min="17" max="17" width="0.453125" customWidth="1"/>
    <col min="18" max="19" width="7.26953125" customWidth="1"/>
    <col min="20" max="20" width="8.7265625" customWidth="1"/>
    <col min="21" max="22" width="10.26953125" customWidth="1"/>
    <col min="23" max="26" width="8.7265625" customWidth="1"/>
  </cols>
  <sheetData>
    <row r="1" spans="1:26" ht="14.25" customHeight="1">
      <c r="A1" s="1" t="s">
        <v>76</v>
      </c>
      <c r="B1" s="1"/>
      <c r="C1" s="1"/>
      <c r="D1" s="1"/>
      <c r="E1" s="1"/>
      <c r="Q1" s="57"/>
    </row>
    <row r="2" spans="1:26" ht="14.25" customHeight="1">
      <c r="A2" s="310" t="s">
        <v>77</v>
      </c>
      <c r="B2" s="311"/>
      <c r="C2" s="58"/>
      <c r="D2" s="59"/>
      <c r="E2" s="60"/>
      <c r="F2" s="312" t="s">
        <v>78</v>
      </c>
      <c r="G2" s="313"/>
      <c r="H2" s="313"/>
      <c r="I2" s="313"/>
      <c r="J2" s="311"/>
      <c r="K2" s="60"/>
      <c r="L2" s="312" t="s">
        <v>79</v>
      </c>
      <c r="M2" s="313"/>
      <c r="N2" s="313"/>
      <c r="O2" s="313"/>
      <c r="P2" s="314"/>
      <c r="Q2" s="61"/>
      <c r="R2" s="315" t="s">
        <v>80</v>
      </c>
      <c r="S2" s="316"/>
      <c r="T2" s="316"/>
      <c r="U2" s="316"/>
      <c r="V2" s="317"/>
    </row>
    <row r="3" spans="1:26" ht="14.25" customHeight="1">
      <c r="A3" s="62" t="s">
        <v>81</v>
      </c>
      <c r="B3" s="63" t="s">
        <v>82</v>
      </c>
      <c r="C3" s="63" t="s">
        <v>83</v>
      </c>
      <c r="D3" s="64" t="s">
        <v>84</v>
      </c>
      <c r="E3" s="65"/>
      <c r="F3" s="66" t="s">
        <v>85</v>
      </c>
      <c r="G3" s="63" t="s">
        <v>86</v>
      </c>
      <c r="H3" s="63" t="s">
        <v>87</v>
      </c>
      <c r="I3" s="63" t="s">
        <v>88</v>
      </c>
      <c r="J3" s="64" t="s">
        <v>89</v>
      </c>
      <c r="K3" s="65"/>
      <c r="L3" s="66" t="s">
        <v>85</v>
      </c>
      <c r="M3" s="63" t="s">
        <v>90</v>
      </c>
      <c r="N3" s="63" t="s">
        <v>91</v>
      </c>
      <c r="O3" s="63" t="s">
        <v>92</v>
      </c>
      <c r="P3" s="64" t="s">
        <v>93</v>
      </c>
      <c r="Q3" s="67"/>
      <c r="R3" s="66" t="s">
        <v>85</v>
      </c>
      <c r="S3" s="63" t="s">
        <v>94</v>
      </c>
      <c r="T3" s="63" t="s">
        <v>95</v>
      </c>
      <c r="U3" s="63" t="s">
        <v>96</v>
      </c>
      <c r="V3" s="63" t="s">
        <v>97</v>
      </c>
    </row>
    <row r="4" spans="1:26" ht="14.25" customHeight="1">
      <c r="A4" s="68" t="s">
        <v>98</v>
      </c>
      <c r="B4" s="69">
        <f t="shared" ref="B4:B6" si="0">D4/C4</f>
        <v>209302.32558139536</v>
      </c>
      <c r="C4" s="70">
        <v>2.15</v>
      </c>
      <c r="D4" s="71">
        <v>450000</v>
      </c>
      <c r="E4" s="72"/>
      <c r="F4" s="73">
        <f>((2)*2+(3)*1)/G4</f>
        <v>2.3333333333333335</v>
      </c>
      <c r="G4" s="74">
        <v>3</v>
      </c>
      <c r="H4" s="75">
        <f t="shared" ref="H4:H16" si="1">F4*B4</f>
        <v>488372.09302325587</v>
      </c>
      <c r="I4" s="76">
        <f t="shared" ref="I4:I16" si="2">H4*G4</f>
        <v>1465116.2790697676</v>
      </c>
      <c r="J4" s="77">
        <f t="shared" ref="J4:J16" si="3">H4*5</f>
        <v>2441860.4651162792</v>
      </c>
      <c r="K4" s="78"/>
      <c r="L4" s="79">
        <f>((0)*3+(0.5)*1)/M4</f>
        <v>0.1</v>
      </c>
      <c r="M4" s="80">
        <v>5</v>
      </c>
      <c r="N4" s="81">
        <f t="shared" ref="N4:N16" si="4">L4*B4</f>
        <v>20930.232558139538</v>
      </c>
      <c r="O4" s="76">
        <f t="shared" ref="O4:O16" si="5">N4*M4</f>
        <v>104651.16279069769</v>
      </c>
      <c r="P4" s="77">
        <f t="shared" ref="P4:P16" si="6">N4*5</f>
        <v>104651.16279069769</v>
      </c>
      <c r="Q4" s="82"/>
      <c r="R4" s="79">
        <f>((0)*2+(1)*1)/S4</f>
        <v>0.2</v>
      </c>
      <c r="S4" s="80">
        <v>5</v>
      </c>
      <c r="T4" s="81">
        <f t="shared" ref="T4:T16" si="7">R4*B4</f>
        <v>41860.465116279076</v>
      </c>
      <c r="U4" s="76">
        <f t="shared" ref="U4:U16" si="8">T4*S4</f>
        <v>209302.32558139539</v>
      </c>
      <c r="V4" s="76">
        <f t="shared" ref="V4:V16" si="9">T4*7</f>
        <v>293023.25581395352</v>
      </c>
      <c r="W4" s="83"/>
      <c r="X4" s="83"/>
      <c r="Y4" s="83"/>
      <c r="Z4" s="83"/>
    </row>
    <row r="5" spans="1:26" ht="27.75" customHeight="1">
      <c r="A5" s="84" t="s">
        <v>99</v>
      </c>
      <c r="B5" s="69">
        <f t="shared" si="0"/>
        <v>200000.00000000003</v>
      </c>
      <c r="C5" s="85">
        <v>2.8499999999999996</v>
      </c>
      <c r="D5" s="71">
        <v>570000</v>
      </c>
      <c r="E5" s="72"/>
      <c r="F5" s="73">
        <f>((0.2)*1+(0.5)*1+(2)*1)/G5</f>
        <v>0.9</v>
      </c>
      <c r="G5" s="74">
        <v>3</v>
      </c>
      <c r="H5" s="75">
        <f t="shared" si="1"/>
        <v>180000.00000000003</v>
      </c>
      <c r="I5" s="76">
        <f t="shared" si="2"/>
        <v>540000.00000000012</v>
      </c>
      <c r="J5" s="77">
        <f t="shared" si="3"/>
        <v>900000.00000000012</v>
      </c>
      <c r="K5" s="78"/>
      <c r="L5" s="79">
        <f>((0)*2+(0.1)*1+(0.25)*1)/M5</f>
        <v>6.9999999999999993E-2</v>
      </c>
      <c r="M5" s="80">
        <v>5</v>
      </c>
      <c r="N5" s="81">
        <f t="shared" si="4"/>
        <v>14000</v>
      </c>
      <c r="O5" s="76">
        <f t="shared" si="5"/>
        <v>70000</v>
      </c>
      <c r="P5" s="77">
        <f t="shared" si="6"/>
        <v>70000</v>
      </c>
      <c r="Q5" s="82"/>
      <c r="R5" s="79">
        <f t="shared" ref="R5:R8" si="10">(0)*3/S5</f>
        <v>0</v>
      </c>
      <c r="S5" s="80">
        <v>5</v>
      </c>
      <c r="T5" s="81">
        <f t="shared" si="7"/>
        <v>0</v>
      </c>
      <c r="U5" s="76">
        <f t="shared" si="8"/>
        <v>0</v>
      </c>
      <c r="V5" s="76">
        <f t="shared" si="9"/>
        <v>0</v>
      </c>
      <c r="W5" s="83"/>
      <c r="X5" s="83"/>
      <c r="Y5" s="83"/>
      <c r="Z5" s="83"/>
    </row>
    <row r="6" spans="1:26" ht="14.25" customHeight="1">
      <c r="A6" s="68" t="s">
        <v>100</v>
      </c>
      <c r="B6" s="69">
        <f t="shared" si="0"/>
        <v>196593.38185638178</v>
      </c>
      <c r="C6" s="70">
        <v>19.990500000000001</v>
      </c>
      <c r="D6" s="71">
        <v>3930000</v>
      </c>
      <c r="E6" s="72"/>
      <c r="F6" s="73">
        <f>((0)*1+(1)*1+(4)*1)/G6</f>
        <v>1.6666666666666667</v>
      </c>
      <c r="G6" s="74">
        <v>3</v>
      </c>
      <c r="H6" s="75">
        <f t="shared" si="1"/>
        <v>327655.63642730296</v>
      </c>
      <c r="I6" s="76">
        <f t="shared" si="2"/>
        <v>982966.90928190888</v>
      </c>
      <c r="J6" s="77">
        <f t="shared" si="3"/>
        <v>1638278.1821365147</v>
      </c>
      <c r="K6" s="78"/>
      <c r="L6" s="79">
        <f t="shared" ref="L6:L7" si="11">((0)*3+(0.1)*1)/M6</f>
        <v>0.02</v>
      </c>
      <c r="M6" s="80">
        <v>5</v>
      </c>
      <c r="N6" s="81">
        <f t="shared" si="4"/>
        <v>3931.8676371276356</v>
      </c>
      <c r="O6" s="76">
        <f t="shared" si="5"/>
        <v>19659.338185638178</v>
      </c>
      <c r="P6" s="77">
        <f t="shared" si="6"/>
        <v>19659.338185638178</v>
      </c>
      <c r="Q6" s="82"/>
      <c r="R6" s="79">
        <f t="shared" si="10"/>
        <v>0</v>
      </c>
      <c r="S6" s="80">
        <v>5</v>
      </c>
      <c r="T6" s="81">
        <f t="shared" si="7"/>
        <v>0</v>
      </c>
      <c r="U6" s="76">
        <f t="shared" si="8"/>
        <v>0</v>
      </c>
      <c r="V6" s="76">
        <f t="shared" si="9"/>
        <v>0</v>
      </c>
      <c r="W6" s="83"/>
      <c r="X6" s="83"/>
      <c r="Y6" s="83"/>
      <c r="Z6" s="83"/>
    </row>
    <row r="7" spans="1:26" ht="14.25" customHeight="1">
      <c r="A7" s="68" t="s">
        <v>101</v>
      </c>
      <c r="B7" s="69">
        <f>D6/C6</f>
        <v>196593.38185638178</v>
      </c>
      <c r="C7" s="86" t="s">
        <v>102</v>
      </c>
      <c r="D7" s="87" t="s">
        <v>102</v>
      </c>
      <c r="E7" s="72"/>
      <c r="F7" s="73">
        <f>((0.1)*1+(1)*1+(2)*1)/G7</f>
        <v>1.0333333333333334</v>
      </c>
      <c r="G7" s="74">
        <v>3</v>
      </c>
      <c r="H7" s="75">
        <f t="shared" si="1"/>
        <v>203146.49458492786</v>
      </c>
      <c r="I7" s="76">
        <f t="shared" si="2"/>
        <v>609439.48375478364</v>
      </c>
      <c r="J7" s="77">
        <f t="shared" si="3"/>
        <v>1015732.4729246392</v>
      </c>
      <c r="K7" s="78"/>
      <c r="L7" s="79">
        <f t="shared" si="11"/>
        <v>0.02</v>
      </c>
      <c r="M7" s="80">
        <v>5</v>
      </c>
      <c r="N7" s="81">
        <f t="shared" si="4"/>
        <v>3931.8676371276356</v>
      </c>
      <c r="O7" s="76">
        <f t="shared" si="5"/>
        <v>19659.338185638178</v>
      </c>
      <c r="P7" s="77">
        <f t="shared" si="6"/>
        <v>19659.338185638178</v>
      </c>
      <c r="Q7" s="82"/>
      <c r="R7" s="79">
        <f t="shared" si="10"/>
        <v>0</v>
      </c>
      <c r="S7" s="80">
        <v>5</v>
      </c>
      <c r="T7" s="81">
        <f t="shared" si="7"/>
        <v>0</v>
      </c>
      <c r="U7" s="76">
        <f t="shared" si="8"/>
        <v>0</v>
      </c>
      <c r="V7" s="76">
        <f t="shared" si="9"/>
        <v>0</v>
      </c>
      <c r="W7" s="83"/>
      <c r="X7" s="83"/>
      <c r="Y7" s="83"/>
      <c r="Z7" s="83"/>
    </row>
    <row r="8" spans="1:26" ht="14.25" customHeight="1">
      <c r="A8" s="68" t="s">
        <v>103</v>
      </c>
      <c r="B8" s="69">
        <f t="shared" ref="B8:B13" si="12">D8/C8</f>
        <v>237949.50267788832</v>
      </c>
      <c r="C8" s="70">
        <v>1.3069999999999999</v>
      </c>
      <c r="D8" s="71">
        <v>311000</v>
      </c>
      <c r="E8" s="72"/>
      <c r="F8" s="73">
        <f>((0.05)*1+(0.25)*2)/G8</f>
        <v>0.18333333333333335</v>
      </c>
      <c r="G8" s="74">
        <v>3</v>
      </c>
      <c r="H8" s="75">
        <f t="shared" si="1"/>
        <v>43624.075490946198</v>
      </c>
      <c r="I8" s="76">
        <f t="shared" si="2"/>
        <v>130872.22647283859</v>
      </c>
      <c r="J8" s="77">
        <f t="shared" si="3"/>
        <v>218120.37745473097</v>
      </c>
      <c r="K8" s="78"/>
      <c r="L8" s="79">
        <f>((0)*3+(0.05)*1)/M8</f>
        <v>0.01</v>
      </c>
      <c r="M8" s="80">
        <v>5</v>
      </c>
      <c r="N8" s="81">
        <f t="shared" si="4"/>
        <v>2379.4950267788831</v>
      </c>
      <c r="O8" s="76">
        <f t="shared" si="5"/>
        <v>11897.475133894415</v>
      </c>
      <c r="P8" s="77">
        <f t="shared" si="6"/>
        <v>11897.475133894415</v>
      </c>
      <c r="Q8" s="82"/>
      <c r="R8" s="79">
        <f t="shared" si="10"/>
        <v>0</v>
      </c>
      <c r="S8" s="80">
        <v>5</v>
      </c>
      <c r="T8" s="81">
        <f t="shared" si="7"/>
        <v>0</v>
      </c>
      <c r="U8" s="76">
        <f t="shared" si="8"/>
        <v>0</v>
      </c>
      <c r="V8" s="76">
        <f t="shared" si="9"/>
        <v>0</v>
      </c>
      <c r="W8" s="83"/>
      <c r="X8" s="83"/>
      <c r="Y8" s="83"/>
      <c r="Z8" s="83"/>
    </row>
    <row r="9" spans="1:26" ht="14.25" customHeight="1">
      <c r="A9" s="68" t="s">
        <v>104</v>
      </c>
      <c r="B9" s="69">
        <f t="shared" si="12"/>
        <v>221021.02102102101</v>
      </c>
      <c r="C9" s="70">
        <v>6.66</v>
      </c>
      <c r="D9" s="71">
        <v>1472000</v>
      </c>
      <c r="E9" s="72"/>
      <c r="F9" s="73">
        <f>((0)*1+(0.25)*1+(0.5)*1)/G9</f>
        <v>0.25</v>
      </c>
      <c r="G9" s="74">
        <v>3</v>
      </c>
      <c r="H9" s="75">
        <f t="shared" si="1"/>
        <v>55255.255255255252</v>
      </c>
      <c r="I9" s="76">
        <f t="shared" si="2"/>
        <v>165765.76576576574</v>
      </c>
      <c r="J9" s="77">
        <f t="shared" si="3"/>
        <v>276276.27627627627</v>
      </c>
      <c r="K9" s="78"/>
      <c r="L9" s="79">
        <f>((-0.25)*1+(0)*1+(0.1)*1+(0.5)*1)/M9</f>
        <v>6.9999999999999993E-2</v>
      </c>
      <c r="M9" s="80">
        <v>5</v>
      </c>
      <c r="N9" s="81">
        <f t="shared" si="4"/>
        <v>15471.471471471468</v>
      </c>
      <c r="O9" s="76">
        <f t="shared" si="5"/>
        <v>77357.357357357338</v>
      </c>
      <c r="P9" s="77">
        <f t="shared" si="6"/>
        <v>77357.357357357338</v>
      </c>
      <c r="Q9" s="82"/>
      <c r="R9" s="79">
        <f>((0)*2+ (0.1)*1+(0.25)*1)/S9</f>
        <v>6.9999999999999993E-2</v>
      </c>
      <c r="S9" s="80">
        <v>5</v>
      </c>
      <c r="T9" s="81">
        <f t="shared" si="7"/>
        <v>15471.471471471468</v>
      </c>
      <c r="U9" s="76">
        <f t="shared" si="8"/>
        <v>77357.357357357338</v>
      </c>
      <c r="V9" s="76">
        <f t="shared" si="9"/>
        <v>108300.30030030028</v>
      </c>
      <c r="W9" s="83"/>
      <c r="X9" s="83"/>
      <c r="Y9" s="83"/>
      <c r="Z9" s="83"/>
    </row>
    <row r="10" spans="1:26" ht="14.25" customHeight="1">
      <c r="A10" s="84" t="s">
        <v>105</v>
      </c>
      <c r="B10" s="69">
        <f t="shared" si="12"/>
        <v>200000</v>
      </c>
      <c r="C10" s="70">
        <v>4.5</v>
      </c>
      <c r="D10" s="71">
        <v>900000</v>
      </c>
      <c r="E10" s="72"/>
      <c r="F10" s="73">
        <f>(0.5)*3/G10</f>
        <v>0.5</v>
      </c>
      <c r="G10" s="74">
        <v>3</v>
      </c>
      <c r="H10" s="75">
        <f t="shared" si="1"/>
        <v>100000</v>
      </c>
      <c r="I10" s="76">
        <f t="shared" si="2"/>
        <v>300000</v>
      </c>
      <c r="J10" s="77">
        <f t="shared" si="3"/>
        <v>500000</v>
      </c>
      <c r="K10" s="78"/>
      <c r="L10" s="79">
        <f>((0)*3+(0.2)*1)/M10</f>
        <v>0.04</v>
      </c>
      <c r="M10" s="80">
        <v>5</v>
      </c>
      <c r="N10" s="81">
        <f t="shared" si="4"/>
        <v>8000</v>
      </c>
      <c r="O10" s="76">
        <f t="shared" si="5"/>
        <v>40000</v>
      </c>
      <c r="P10" s="77">
        <f t="shared" si="6"/>
        <v>40000</v>
      </c>
      <c r="Q10" s="82"/>
      <c r="R10" s="79">
        <f>(0)*3/S10</f>
        <v>0</v>
      </c>
      <c r="S10" s="80">
        <v>5</v>
      </c>
      <c r="T10" s="81">
        <f t="shared" si="7"/>
        <v>0</v>
      </c>
      <c r="U10" s="76">
        <f t="shared" si="8"/>
        <v>0</v>
      </c>
      <c r="V10" s="76">
        <f t="shared" si="9"/>
        <v>0</v>
      </c>
      <c r="W10" s="83"/>
      <c r="X10" s="83"/>
      <c r="Y10" s="83"/>
      <c r="Z10" s="83"/>
    </row>
    <row r="11" spans="1:26" ht="27" customHeight="1">
      <c r="A11" s="84" t="s">
        <v>106</v>
      </c>
      <c r="B11" s="69">
        <f t="shared" si="12"/>
        <v>200000</v>
      </c>
      <c r="C11" s="85">
        <v>6.36</v>
      </c>
      <c r="D11" s="71">
        <v>1272000</v>
      </c>
      <c r="E11" s="72"/>
      <c r="F11" s="73">
        <f>((0.1)*1+(0.25)*1+(1)*1)/G11</f>
        <v>0.45</v>
      </c>
      <c r="G11" s="74">
        <v>3</v>
      </c>
      <c r="H11" s="75">
        <f t="shared" si="1"/>
        <v>90000</v>
      </c>
      <c r="I11" s="76">
        <f t="shared" si="2"/>
        <v>270000</v>
      </c>
      <c r="J11" s="77">
        <f t="shared" si="3"/>
        <v>450000</v>
      </c>
      <c r="K11" s="78"/>
      <c r="L11" s="79">
        <f>((-0.1)*1+(0)*2+(0.1)*1)/M11</f>
        <v>0</v>
      </c>
      <c r="M11" s="80">
        <v>5</v>
      </c>
      <c r="N11" s="81">
        <f t="shared" si="4"/>
        <v>0</v>
      </c>
      <c r="O11" s="76">
        <f t="shared" si="5"/>
        <v>0</v>
      </c>
      <c r="P11" s="77">
        <f t="shared" si="6"/>
        <v>0</v>
      </c>
      <c r="Q11" s="82"/>
      <c r="R11" s="79">
        <f>((0)*2+(0.1)*1)/S11</f>
        <v>0.02</v>
      </c>
      <c r="S11" s="80">
        <v>5</v>
      </c>
      <c r="T11" s="81">
        <f t="shared" si="7"/>
        <v>4000</v>
      </c>
      <c r="U11" s="76">
        <f t="shared" si="8"/>
        <v>20000</v>
      </c>
      <c r="V11" s="76">
        <f t="shared" si="9"/>
        <v>28000</v>
      </c>
      <c r="W11" s="83"/>
      <c r="X11" s="83"/>
      <c r="Y11" s="83"/>
      <c r="Z11" s="83"/>
    </row>
    <row r="12" spans="1:26" ht="14.25" customHeight="1">
      <c r="A12" s="68" t="s">
        <v>107</v>
      </c>
      <c r="B12" s="69">
        <f t="shared" si="12"/>
        <v>218902.61136712751</v>
      </c>
      <c r="C12" s="85">
        <v>6.51</v>
      </c>
      <c r="D12" s="71">
        <v>1425056</v>
      </c>
      <c r="E12" s="72"/>
      <c r="F12" s="73">
        <f>((0.5)*2+(1.25)*1)/G12</f>
        <v>0.75</v>
      </c>
      <c r="G12" s="74">
        <v>3</v>
      </c>
      <c r="H12" s="75">
        <f t="shared" si="1"/>
        <v>164176.95852534563</v>
      </c>
      <c r="I12" s="76">
        <f t="shared" si="2"/>
        <v>492530.87557603687</v>
      </c>
      <c r="J12" s="77">
        <f t="shared" si="3"/>
        <v>820884.79262672819</v>
      </c>
      <c r="K12" s="78"/>
      <c r="L12" s="79">
        <f>((0)*1+(0.25)*2+(1)*1)/M12</f>
        <v>0.3</v>
      </c>
      <c r="M12" s="80">
        <v>5</v>
      </c>
      <c r="N12" s="81">
        <f t="shared" si="4"/>
        <v>65670.783410138247</v>
      </c>
      <c r="O12" s="76">
        <f t="shared" si="5"/>
        <v>328353.91705069121</v>
      </c>
      <c r="P12" s="77">
        <f t="shared" si="6"/>
        <v>328353.91705069121</v>
      </c>
      <c r="Q12" s="82"/>
      <c r="R12" s="79">
        <f>((0)*2+(0.15)*1+(0.2)*1+(0.5)*1)/S12</f>
        <v>0.16999999999999998</v>
      </c>
      <c r="S12" s="80">
        <v>5</v>
      </c>
      <c r="T12" s="81">
        <f t="shared" si="7"/>
        <v>37213.443932411676</v>
      </c>
      <c r="U12" s="76">
        <f t="shared" si="8"/>
        <v>186067.21966205837</v>
      </c>
      <c r="V12" s="76">
        <f t="shared" si="9"/>
        <v>260494.10752688174</v>
      </c>
      <c r="W12" s="83"/>
      <c r="X12" s="83"/>
      <c r="Y12" s="83"/>
      <c r="Z12" s="83"/>
    </row>
    <row r="13" spans="1:26" ht="14.25" customHeight="1">
      <c r="A13" s="68" t="s">
        <v>108</v>
      </c>
      <c r="B13" s="69">
        <f t="shared" si="12"/>
        <v>236713.01154249741</v>
      </c>
      <c r="C13" s="70">
        <v>9.5299999999999994</v>
      </c>
      <c r="D13" s="71">
        <v>2255875</v>
      </c>
      <c r="E13" s="72"/>
      <c r="F13" s="73">
        <f>((0.25)*1+(0.5)*1+(2)*1)/G13</f>
        <v>0.91666666666666663</v>
      </c>
      <c r="G13" s="74">
        <v>3</v>
      </c>
      <c r="H13" s="75">
        <f t="shared" si="1"/>
        <v>216986.92724728928</v>
      </c>
      <c r="I13" s="76">
        <f t="shared" si="2"/>
        <v>650960.78174186777</v>
      </c>
      <c r="J13" s="77">
        <f t="shared" si="3"/>
        <v>1084934.6362364464</v>
      </c>
      <c r="K13" s="78"/>
      <c r="L13" s="79">
        <f>((0)*3+(0.1)*1)/M13</f>
        <v>0.02</v>
      </c>
      <c r="M13" s="80">
        <v>5</v>
      </c>
      <c r="N13" s="81">
        <f t="shared" si="4"/>
        <v>4734.2602308499481</v>
      </c>
      <c r="O13" s="76">
        <f t="shared" si="5"/>
        <v>23671.301154249741</v>
      </c>
      <c r="P13" s="77">
        <f t="shared" si="6"/>
        <v>23671.301154249741</v>
      </c>
      <c r="Q13" s="82"/>
      <c r="R13" s="79">
        <f>((0)*2+(0.1)*2)/S13</f>
        <v>0.04</v>
      </c>
      <c r="S13" s="80">
        <v>5</v>
      </c>
      <c r="T13" s="81">
        <f t="shared" si="7"/>
        <v>9468.5204616998963</v>
      </c>
      <c r="U13" s="76">
        <f t="shared" si="8"/>
        <v>47342.602308499481</v>
      </c>
      <c r="V13" s="76">
        <f t="shared" si="9"/>
        <v>66279.643231899274</v>
      </c>
      <c r="W13" s="83"/>
      <c r="X13" s="83"/>
      <c r="Y13" s="83"/>
      <c r="Z13" s="83"/>
    </row>
    <row r="14" spans="1:26" ht="14.25" customHeight="1">
      <c r="A14" s="68" t="s">
        <v>109</v>
      </c>
      <c r="B14" s="69">
        <f>D6/C6</f>
        <v>196593.38185638178</v>
      </c>
      <c r="C14" s="86" t="s">
        <v>102</v>
      </c>
      <c r="D14" s="87" t="s">
        <v>102</v>
      </c>
      <c r="E14" s="72"/>
      <c r="F14" s="73">
        <f>((0)*1+(0.2)*1+(0.5)*1)/G14</f>
        <v>0.23333333333333331</v>
      </c>
      <c r="G14" s="74">
        <v>3</v>
      </c>
      <c r="H14" s="75">
        <f t="shared" si="1"/>
        <v>45871.78909982241</v>
      </c>
      <c r="I14" s="76">
        <f t="shared" si="2"/>
        <v>137615.36729946724</v>
      </c>
      <c r="J14" s="77">
        <f t="shared" si="3"/>
        <v>229358.94549911204</v>
      </c>
      <c r="K14" s="78"/>
      <c r="L14" s="79">
        <f>((-0.1)*1+(0)*3+(0.25)*1)/M14</f>
        <v>0.03</v>
      </c>
      <c r="M14" s="80">
        <v>5</v>
      </c>
      <c r="N14" s="81">
        <f t="shared" si="4"/>
        <v>5897.8014556914532</v>
      </c>
      <c r="O14" s="76">
        <f t="shared" si="5"/>
        <v>29489.007278457266</v>
      </c>
      <c r="P14" s="77">
        <f t="shared" si="6"/>
        <v>29489.007278457266</v>
      </c>
      <c r="Q14" s="82"/>
      <c r="R14" s="79">
        <f t="shared" ref="R14:R16" si="13">(0)/S14</f>
        <v>0</v>
      </c>
      <c r="S14" s="80">
        <v>5</v>
      </c>
      <c r="T14" s="81">
        <f t="shared" si="7"/>
        <v>0</v>
      </c>
      <c r="U14" s="76">
        <f t="shared" si="8"/>
        <v>0</v>
      </c>
      <c r="V14" s="76">
        <f t="shared" si="9"/>
        <v>0</v>
      </c>
      <c r="W14" s="83"/>
      <c r="X14" s="83"/>
      <c r="Y14" s="83"/>
      <c r="Z14" s="83"/>
    </row>
    <row r="15" spans="1:26" ht="14.25" customHeight="1">
      <c r="A15" s="84" t="s">
        <v>110</v>
      </c>
      <c r="B15" s="69">
        <f t="shared" ref="B15:B16" si="14">D15/C15</f>
        <v>201019.62086073405</v>
      </c>
      <c r="C15" s="70">
        <v>17.83408</v>
      </c>
      <c r="D15" s="71">
        <v>3585000</v>
      </c>
      <c r="E15" s="72"/>
      <c r="F15" s="73">
        <f>((0)*1+(0.25)*1+(0.75)*1)/G15</f>
        <v>0.33333333333333331</v>
      </c>
      <c r="G15" s="74">
        <v>3</v>
      </c>
      <c r="H15" s="75">
        <f t="shared" si="1"/>
        <v>67006.540286911346</v>
      </c>
      <c r="I15" s="76">
        <f t="shared" si="2"/>
        <v>201019.62086073402</v>
      </c>
      <c r="J15" s="77">
        <f t="shared" si="3"/>
        <v>335032.70143455674</v>
      </c>
      <c r="K15" s="78"/>
      <c r="L15" s="79">
        <f>((0)*1+(0.1)*1+(0.25)*2)/M15</f>
        <v>0.12</v>
      </c>
      <c r="M15" s="80">
        <v>5</v>
      </c>
      <c r="N15" s="81">
        <f t="shared" si="4"/>
        <v>24122.354503288087</v>
      </c>
      <c r="O15" s="76">
        <f t="shared" si="5"/>
        <v>120611.77251644043</v>
      </c>
      <c r="P15" s="77">
        <f t="shared" si="6"/>
        <v>120611.77251644043</v>
      </c>
      <c r="Q15" s="82"/>
      <c r="R15" s="79">
        <f t="shared" si="13"/>
        <v>0</v>
      </c>
      <c r="S15" s="80">
        <v>5</v>
      </c>
      <c r="T15" s="81">
        <f t="shared" si="7"/>
        <v>0</v>
      </c>
      <c r="U15" s="76">
        <f t="shared" si="8"/>
        <v>0</v>
      </c>
      <c r="V15" s="76">
        <f t="shared" si="9"/>
        <v>0</v>
      </c>
      <c r="W15" s="83"/>
      <c r="X15" s="83"/>
      <c r="Y15" s="83"/>
      <c r="Z15" s="83"/>
    </row>
    <row r="16" spans="1:26" ht="14.25" customHeight="1">
      <c r="A16" s="88" t="s">
        <v>111</v>
      </c>
      <c r="B16" s="89">
        <f t="shared" si="14"/>
        <v>207008.08625336931</v>
      </c>
      <c r="C16" s="90">
        <v>35.708749999999995</v>
      </c>
      <c r="D16" s="91">
        <v>7392000</v>
      </c>
      <c r="E16" s="72"/>
      <c r="F16" s="92">
        <f>((2.5)*1+(5)*1+(10)*1)/G16</f>
        <v>5.833333333333333</v>
      </c>
      <c r="G16" s="93">
        <v>3</v>
      </c>
      <c r="H16" s="94">
        <f t="shared" si="1"/>
        <v>1207547.169811321</v>
      </c>
      <c r="I16" s="95">
        <f t="shared" si="2"/>
        <v>3622641.5094339629</v>
      </c>
      <c r="J16" s="96">
        <f t="shared" si="3"/>
        <v>6037735.8490566052</v>
      </c>
      <c r="K16" s="78"/>
      <c r="L16" s="97">
        <f>((0)*2+(0.5)*1+(0.75)*1)/M16</f>
        <v>0.25</v>
      </c>
      <c r="M16" s="80">
        <v>5</v>
      </c>
      <c r="N16" s="98">
        <f t="shared" si="4"/>
        <v>51752.021563342329</v>
      </c>
      <c r="O16" s="95">
        <f t="shared" si="5"/>
        <v>258760.10781671165</v>
      </c>
      <c r="P16" s="96">
        <f t="shared" si="6"/>
        <v>258760.10781671165</v>
      </c>
      <c r="Q16" s="82"/>
      <c r="R16" s="97">
        <f t="shared" si="13"/>
        <v>0</v>
      </c>
      <c r="S16" s="80">
        <v>5</v>
      </c>
      <c r="T16" s="98">
        <f t="shared" si="7"/>
        <v>0</v>
      </c>
      <c r="U16" s="95">
        <f t="shared" si="8"/>
        <v>0</v>
      </c>
      <c r="V16" s="95">
        <f t="shared" si="9"/>
        <v>0</v>
      </c>
      <c r="W16" s="83"/>
      <c r="X16" s="83"/>
      <c r="Y16" s="83"/>
      <c r="Z16" s="83"/>
    </row>
    <row r="17" spans="1:26" ht="12.75" customHeight="1">
      <c r="A17" s="99" t="s">
        <v>112</v>
      </c>
      <c r="B17" s="100"/>
      <c r="C17" s="100"/>
      <c r="D17" s="101">
        <f>SUM(D4:D16)</f>
        <v>23562931</v>
      </c>
      <c r="E17" s="102"/>
      <c r="F17" s="103">
        <f>SUM(F4:F16)</f>
        <v>15.383333333333333</v>
      </c>
      <c r="G17" s="104"/>
      <c r="H17" s="105"/>
      <c r="I17" s="106">
        <f t="shared" ref="I17:J17" si="15">SUM(I4:I16)</f>
        <v>9568928.8192571346</v>
      </c>
      <c r="J17" s="107">
        <f t="shared" si="15"/>
        <v>15948214.69876189</v>
      </c>
      <c r="K17" s="108"/>
      <c r="L17" s="103">
        <f>SUM(L4:L16)</f>
        <v>1.0499999999999998</v>
      </c>
      <c r="M17" s="104"/>
      <c r="N17" s="106"/>
      <c r="O17" s="106">
        <f t="shared" ref="O17:P17" si="16">SUM(O4:O16)</f>
        <v>1104110.7774697761</v>
      </c>
      <c r="P17" s="107">
        <f t="shared" si="16"/>
        <v>1104110.7774697761</v>
      </c>
      <c r="Q17" s="109"/>
      <c r="R17" s="103">
        <f>SUM(R4:R16)</f>
        <v>0.5</v>
      </c>
      <c r="S17" s="104"/>
      <c r="T17" s="106"/>
      <c r="U17" s="110">
        <f t="shared" ref="U17:V17" si="17">SUM(U4:U16)</f>
        <v>540069.50490931061</v>
      </c>
      <c r="V17" s="106">
        <f t="shared" si="17"/>
        <v>756097.3068730348</v>
      </c>
      <c r="W17" s="83"/>
      <c r="X17" s="83"/>
      <c r="Y17" s="83"/>
      <c r="Z17" s="83"/>
    </row>
    <row r="18" spans="1:26" ht="10.5" customHeight="1">
      <c r="A18" s="111" t="s">
        <v>113</v>
      </c>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c r="A19" s="112" t="s">
        <v>114</v>
      </c>
    </row>
    <row r="20" spans="1:26" ht="14.25" customHeight="1">
      <c r="A20" s="112"/>
    </row>
    <row r="21" spans="1:26" ht="14.25" customHeight="1">
      <c r="C21" s="113" t="s">
        <v>115</v>
      </c>
      <c r="D21" s="113" t="s">
        <v>116</v>
      </c>
      <c r="E21" s="83"/>
    </row>
    <row r="22" spans="1:26" ht="14.25" customHeight="1">
      <c r="C22" s="113" t="s">
        <v>117</v>
      </c>
      <c r="D22" s="113" t="s">
        <v>118</v>
      </c>
      <c r="E22" s="83"/>
    </row>
    <row r="23" spans="1:26" ht="14.25" customHeight="1">
      <c r="C23" s="113" t="s">
        <v>119</v>
      </c>
      <c r="D23" s="113" t="s">
        <v>120</v>
      </c>
      <c r="E23" s="83"/>
    </row>
    <row r="24" spans="1:26" ht="14.25" customHeight="1">
      <c r="C24" s="113" t="s">
        <v>121</v>
      </c>
      <c r="D24" s="113" t="s">
        <v>122</v>
      </c>
      <c r="E24" s="83"/>
    </row>
    <row r="25" spans="1:26" ht="14.25" customHeight="1">
      <c r="C25" s="113" t="s">
        <v>123</v>
      </c>
      <c r="D25" s="113" t="s">
        <v>124</v>
      </c>
      <c r="E25" s="83"/>
    </row>
    <row r="26" spans="1:26" ht="14.25" customHeight="1">
      <c r="C26" s="113" t="s">
        <v>125</v>
      </c>
      <c r="D26" s="113" t="s">
        <v>126</v>
      </c>
      <c r="E26" s="83"/>
    </row>
    <row r="27" spans="1:26" ht="14.25" customHeight="1">
      <c r="B27" s="113"/>
      <c r="C27" s="113"/>
      <c r="D27" s="83"/>
    </row>
    <row r="28" spans="1:26" ht="14.25" customHeight="1">
      <c r="B28" s="114"/>
      <c r="C28" s="113"/>
      <c r="D28" s="83"/>
    </row>
    <row r="29" spans="1:26" ht="14.25" customHeight="1">
      <c r="B29" s="113"/>
      <c r="C29" s="113"/>
      <c r="D29" s="83"/>
    </row>
    <row r="30" spans="1:26" ht="14.25" customHeight="1">
      <c r="B30" s="113"/>
      <c r="C30" s="113"/>
      <c r="D30" s="83"/>
    </row>
    <row r="31" spans="1:26" ht="14.25" customHeight="1">
      <c r="B31" s="113"/>
      <c r="C31" s="113"/>
      <c r="D31" s="83"/>
    </row>
    <row r="32" spans="1:26" ht="14.25" customHeight="1">
      <c r="B32" s="113"/>
      <c r="C32" s="113"/>
      <c r="D32" s="83"/>
    </row>
    <row r="33" spans="2:4" ht="14.25" customHeight="1">
      <c r="B33" s="113"/>
      <c r="C33" s="113"/>
      <c r="D33" s="83"/>
    </row>
    <row r="34" spans="2:4" ht="14.25" customHeight="1">
      <c r="B34" s="113"/>
      <c r="C34" s="113"/>
    </row>
    <row r="35" spans="2:4" ht="14.25" customHeight="1">
      <c r="B35" s="113"/>
      <c r="C35" s="113"/>
    </row>
    <row r="36" spans="2:4" ht="14.25" customHeight="1"/>
    <row r="37" spans="2:4" ht="14.25" customHeight="1"/>
    <row r="38" spans="2:4" ht="14.25" customHeight="1"/>
    <row r="39" spans="2:4" ht="14.25" customHeight="1"/>
    <row r="40" spans="2:4" ht="14.25" customHeight="1"/>
    <row r="41" spans="2:4" ht="14.25" customHeight="1"/>
    <row r="42" spans="2:4" ht="14.25" customHeight="1"/>
    <row r="43" spans="2:4" ht="14.25" customHeight="1"/>
    <row r="44" spans="2:4" ht="14.25" customHeight="1"/>
    <row r="45" spans="2:4" ht="14.25" customHeight="1"/>
    <row r="46" spans="2:4" ht="14.25" customHeight="1"/>
    <row r="47" spans="2:4" ht="14.25" customHeight="1"/>
    <row r="48" spans="2: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2:B2"/>
    <mergeCell ref="F2:J2"/>
    <mergeCell ref="L2:P2"/>
    <mergeCell ref="R2:V2"/>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53125" defaultRowHeight="15" customHeight="1"/>
  <cols>
    <col min="1" max="1" width="25.453125" customWidth="1"/>
    <col min="2" max="2" width="11.81640625" customWidth="1"/>
    <col min="3" max="3" width="8.7265625" customWidth="1"/>
    <col min="4" max="4" width="14.26953125" customWidth="1"/>
    <col min="5" max="5" width="0.453125" customWidth="1"/>
    <col min="6" max="6" width="7.7265625" customWidth="1"/>
    <col min="7" max="7" width="8.7265625" customWidth="1"/>
    <col min="8" max="8" width="9.453125" customWidth="1"/>
    <col min="9" max="10" width="12.26953125" customWidth="1"/>
    <col min="11" max="11" width="0.453125" customWidth="1"/>
    <col min="12" max="14" width="8.7265625" customWidth="1"/>
    <col min="15" max="15" width="11.7265625" customWidth="1"/>
    <col min="16" max="16" width="11.26953125" customWidth="1"/>
    <col min="17" max="17" width="0.7265625" customWidth="1"/>
    <col min="18" max="18" width="7.26953125" customWidth="1"/>
    <col min="19" max="19" width="8.7265625" customWidth="1"/>
    <col min="20" max="20" width="8.453125" customWidth="1"/>
    <col min="21" max="21" width="9.7265625" customWidth="1"/>
    <col min="22" max="22" width="11.26953125" customWidth="1"/>
    <col min="23" max="26" width="8.7265625" customWidth="1"/>
  </cols>
  <sheetData>
    <row r="1" spans="1:26" ht="14.25" customHeight="1">
      <c r="A1" s="14" t="s">
        <v>127</v>
      </c>
    </row>
    <row r="2" spans="1:26" ht="14.25" customHeight="1">
      <c r="A2" s="318" t="s">
        <v>128</v>
      </c>
      <c r="B2" s="311"/>
      <c r="C2" s="115"/>
      <c r="D2" s="116"/>
      <c r="E2" s="65"/>
      <c r="F2" s="319" t="s">
        <v>78</v>
      </c>
      <c r="G2" s="313"/>
      <c r="H2" s="313"/>
      <c r="I2" s="313"/>
      <c r="J2" s="311"/>
      <c r="K2" s="117"/>
      <c r="L2" s="319" t="s">
        <v>79</v>
      </c>
      <c r="M2" s="313"/>
      <c r="N2" s="313"/>
      <c r="O2" s="313"/>
      <c r="P2" s="311"/>
      <c r="Q2" s="118"/>
      <c r="R2" s="320" t="s">
        <v>80</v>
      </c>
      <c r="S2" s="316"/>
      <c r="T2" s="316"/>
      <c r="U2" s="316"/>
      <c r="V2" s="317"/>
    </row>
    <row r="3" spans="1:26" ht="14.25" customHeight="1">
      <c r="A3" s="62" t="s">
        <v>81</v>
      </c>
      <c r="B3" s="63" t="s">
        <v>82</v>
      </c>
      <c r="C3" s="63" t="s">
        <v>83</v>
      </c>
      <c r="D3" s="64" t="s">
        <v>84</v>
      </c>
      <c r="E3" s="65"/>
      <c r="F3" s="66" t="s">
        <v>85</v>
      </c>
      <c r="G3" s="63" t="s">
        <v>129</v>
      </c>
      <c r="H3" s="63" t="s">
        <v>87</v>
      </c>
      <c r="I3" s="63" t="s">
        <v>88</v>
      </c>
      <c r="J3" s="64" t="s">
        <v>89</v>
      </c>
      <c r="K3" s="65"/>
      <c r="L3" s="66" t="s">
        <v>85</v>
      </c>
      <c r="M3" s="63" t="s">
        <v>130</v>
      </c>
      <c r="N3" s="63" t="s">
        <v>91</v>
      </c>
      <c r="O3" s="63" t="s">
        <v>92</v>
      </c>
      <c r="P3" s="64" t="s">
        <v>93</v>
      </c>
      <c r="Q3" s="67"/>
      <c r="R3" s="66" t="s">
        <v>85</v>
      </c>
      <c r="S3" s="63" t="s">
        <v>131</v>
      </c>
      <c r="T3" s="63" t="s">
        <v>95</v>
      </c>
      <c r="U3" s="63" t="s">
        <v>96</v>
      </c>
      <c r="V3" s="63" t="s">
        <v>132</v>
      </c>
    </row>
    <row r="4" spans="1:26" ht="14.25" customHeight="1">
      <c r="A4" s="119" t="s">
        <v>98</v>
      </c>
      <c r="B4" s="120">
        <f t="shared" ref="B4:B6" si="0">D4/C4</f>
        <v>209302.32558139536</v>
      </c>
      <c r="C4" s="70">
        <v>2.15</v>
      </c>
      <c r="D4" s="121">
        <v>450000</v>
      </c>
      <c r="E4" s="72"/>
      <c r="F4" s="73">
        <f>((0.75)*1+(1.5)*1+(2)*1+(3)*1)/G4</f>
        <v>1.8125</v>
      </c>
      <c r="G4" s="74">
        <v>4</v>
      </c>
      <c r="H4" s="75">
        <f t="shared" ref="H4:H16" si="1">B4*F4</f>
        <v>379360.46511627908</v>
      </c>
      <c r="I4" s="76">
        <f t="shared" ref="I4:I16" si="2">H4*G4</f>
        <v>1517441.8604651163</v>
      </c>
      <c r="J4" s="77">
        <f t="shared" ref="J4:J16" si="3">H4*5</f>
        <v>1896802.3255813955</v>
      </c>
      <c r="K4" s="78"/>
      <c r="L4" s="79">
        <f>((0)*3+(0.5)*1)/M4</f>
        <v>0.1</v>
      </c>
      <c r="M4" s="80">
        <v>5</v>
      </c>
      <c r="N4" s="81">
        <f t="shared" ref="N4:N16" si="4">B4*L4</f>
        <v>20930.232558139538</v>
      </c>
      <c r="O4" s="76">
        <f t="shared" ref="O4:O16" si="5">N4*M4</f>
        <v>104651.16279069769</v>
      </c>
      <c r="P4" s="77">
        <f t="shared" ref="P4:P16" si="6">N4*5</f>
        <v>104651.16279069769</v>
      </c>
      <c r="Q4" s="82"/>
      <c r="R4" s="79">
        <f>((0)*3+(1)*1)/S4</f>
        <v>0.14285714285714285</v>
      </c>
      <c r="S4" s="80">
        <v>7</v>
      </c>
      <c r="T4" s="81">
        <f t="shared" ref="T4:T16" si="7">B4*R4</f>
        <v>29900.332225913622</v>
      </c>
      <c r="U4" s="76">
        <f t="shared" ref="U4:U16" si="8">T4*S4</f>
        <v>209302.32558139536</v>
      </c>
      <c r="V4" s="76">
        <f t="shared" ref="V4:V16" si="9">T4*7</f>
        <v>209302.32558139536</v>
      </c>
      <c r="W4" s="83"/>
      <c r="X4" s="83"/>
      <c r="Y4" s="83"/>
      <c r="Z4" s="83"/>
    </row>
    <row r="5" spans="1:26" ht="14.25" customHeight="1">
      <c r="A5" s="122" t="s">
        <v>99</v>
      </c>
      <c r="B5" s="120">
        <f t="shared" si="0"/>
        <v>200000</v>
      </c>
      <c r="C5" s="85">
        <v>2.85</v>
      </c>
      <c r="D5" s="123">
        <v>570000</v>
      </c>
      <c r="E5" s="124"/>
      <c r="F5" s="73">
        <f>((0.2)*1+(0.5)*2+(2)*1)/G5</f>
        <v>0.8</v>
      </c>
      <c r="G5" s="74">
        <v>4</v>
      </c>
      <c r="H5" s="75">
        <f t="shared" si="1"/>
        <v>160000</v>
      </c>
      <c r="I5" s="76">
        <f t="shared" si="2"/>
        <v>640000</v>
      </c>
      <c r="J5" s="77">
        <f t="shared" si="3"/>
        <v>800000</v>
      </c>
      <c r="K5" s="78"/>
      <c r="L5" s="79">
        <f>((0)*2+(0.1)*1+(0.25)*1)/M5</f>
        <v>6.9999999999999993E-2</v>
      </c>
      <c r="M5" s="80">
        <v>5</v>
      </c>
      <c r="N5" s="81">
        <f t="shared" si="4"/>
        <v>13999.999999999998</v>
      </c>
      <c r="O5" s="76">
        <f t="shared" si="5"/>
        <v>69999.999999999985</v>
      </c>
      <c r="P5" s="77">
        <f t="shared" si="6"/>
        <v>69999.999999999985</v>
      </c>
      <c r="Q5" s="82"/>
      <c r="R5" s="79">
        <f t="shared" ref="R5:R7" si="10">(0)*5/S5</f>
        <v>0</v>
      </c>
      <c r="S5" s="80">
        <v>7</v>
      </c>
      <c r="T5" s="81">
        <f t="shared" si="7"/>
        <v>0</v>
      </c>
      <c r="U5" s="76">
        <f t="shared" si="8"/>
        <v>0</v>
      </c>
      <c r="V5" s="76">
        <f t="shared" si="9"/>
        <v>0</v>
      </c>
      <c r="W5" s="83"/>
      <c r="X5" s="83"/>
      <c r="Y5" s="83"/>
      <c r="Z5" s="83"/>
    </row>
    <row r="6" spans="1:26" ht="14.25" customHeight="1">
      <c r="A6" s="119" t="s">
        <v>100</v>
      </c>
      <c r="B6" s="120">
        <f t="shared" si="0"/>
        <v>216739.13043478262</v>
      </c>
      <c r="C6" s="70">
        <v>18.399999999999999</v>
      </c>
      <c r="D6" s="121">
        <v>3988000</v>
      </c>
      <c r="E6" s="72"/>
      <c r="F6" s="73">
        <f>((0)*1+(1)*1+(4)*1)/G6</f>
        <v>1.25</v>
      </c>
      <c r="G6" s="74">
        <v>4</v>
      </c>
      <c r="H6" s="75">
        <f t="shared" si="1"/>
        <v>270923.91304347827</v>
      </c>
      <c r="I6" s="76">
        <f t="shared" si="2"/>
        <v>1083695.6521739131</v>
      </c>
      <c r="J6" s="77">
        <f t="shared" si="3"/>
        <v>1354619.5652173914</v>
      </c>
      <c r="K6" s="78"/>
      <c r="L6" s="79">
        <f t="shared" ref="L6:L7" si="11">((0)*3+(0.1)*1)/M6</f>
        <v>0.02</v>
      </c>
      <c r="M6" s="80">
        <v>5</v>
      </c>
      <c r="N6" s="81">
        <f t="shared" si="4"/>
        <v>4334.7826086956529</v>
      </c>
      <c r="O6" s="76">
        <f t="shared" si="5"/>
        <v>21673.913043478264</v>
      </c>
      <c r="P6" s="77">
        <f t="shared" si="6"/>
        <v>21673.913043478264</v>
      </c>
      <c r="Q6" s="82"/>
      <c r="R6" s="79">
        <f t="shared" si="10"/>
        <v>0</v>
      </c>
      <c r="S6" s="80">
        <v>7</v>
      </c>
      <c r="T6" s="81">
        <f t="shared" si="7"/>
        <v>0</v>
      </c>
      <c r="U6" s="76">
        <f t="shared" si="8"/>
        <v>0</v>
      </c>
      <c r="V6" s="76">
        <f t="shared" si="9"/>
        <v>0</v>
      </c>
      <c r="W6" s="83"/>
      <c r="X6" s="83"/>
      <c r="Y6" s="83"/>
      <c r="Z6" s="83"/>
    </row>
    <row r="7" spans="1:26" ht="14.25" customHeight="1">
      <c r="A7" s="119" t="s">
        <v>101</v>
      </c>
      <c r="B7" s="120">
        <f>D6/C6</f>
        <v>216739.13043478262</v>
      </c>
      <c r="C7" s="70" t="s">
        <v>102</v>
      </c>
      <c r="D7" s="121" t="s">
        <v>102</v>
      </c>
      <c r="E7" s="72"/>
      <c r="F7" s="73">
        <f>((0.1)*1+(0.75)*1+(1)*1+(2)*1)/G7</f>
        <v>0.96250000000000002</v>
      </c>
      <c r="G7" s="74">
        <v>4</v>
      </c>
      <c r="H7" s="75">
        <f t="shared" si="1"/>
        <v>208611.41304347827</v>
      </c>
      <c r="I7" s="76">
        <f t="shared" si="2"/>
        <v>834445.65217391308</v>
      </c>
      <c r="J7" s="77">
        <f t="shared" si="3"/>
        <v>1043057.0652173914</v>
      </c>
      <c r="K7" s="78"/>
      <c r="L7" s="79">
        <f t="shared" si="11"/>
        <v>0.02</v>
      </c>
      <c r="M7" s="80">
        <v>5</v>
      </c>
      <c r="N7" s="81">
        <f t="shared" si="4"/>
        <v>4334.7826086956529</v>
      </c>
      <c r="O7" s="76">
        <f t="shared" si="5"/>
        <v>21673.913043478264</v>
      </c>
      <c r="P7" s="77">
        <f t="shared" si="6"/>
        <v>21673.913043478264</v>
      </c>
      <c r="Q7" s="82"/>
      <c r="R7" s="79">
        <f t="shared" si="10"/>
        <v>0</v>
      </c>
      <c r="S7" s="80">
        <v>7</v>
      </c>
      <c r="T7" s="81">
        <f t="shared" si="7"/>
        <v>0</v>
      </c>
      <c r="U7" s="76">
        <f t="shared" si="8"/>
        <v>0</v>
      </c>
      <c r="V7" s="76">
        <f t="shared" si="9"/>
        <v>0</v>
      </c>
      <c r="W7" s="83"/>
      <c r="X7" s="83"/>
      <c r="Y7" s="83"/>
      <c r="Z7" s="83"/>
    </row>
    <row r="8" spans="1:26" ht="14.25" customHeight="1">
      <c r="A8" s="119" t="s">
        <v>103</v>
      </c>
      <c r="B8" s="120">
        <f t="shared" ref="B8:B13" si="12">D8/C8</f>
        <v>237404.58015267176</v>
      </c>
      <c r="C8" s="70">
        <v>1.31</v>
      </c>
      <c r="D8" s="121">
        <v>311000</v>
      </c>
      <c r="E8" s="72"/>
      <c r="F8" s="73">
        <f>((0.05)*1+(0.25)*3)/G8</f>
        <v>0.2</v>
      </c>
      <c r="G8" s="74">
        <v>4</v>
      </c>
      <c r="H8" s="75">
        <f t="shared" si="1"/>
        <v>47480.916030534354</v>
      </c>
      <c r="I8" s="76">
        <f t="shared" si="2"/>
        <v>189923.66412213742</v>
      </c>
      <c r="J8" s="77">
        <f t="shared" si="3"/>
        <v>237404.58015267178</v>
      </c>
      <c r="K8" s="78"/>
      <c r="L8" s="79">
        <f>((0)*3+(0.05)*1)/M8</f>
        <v>0.01</v>
      </c>
      <c r="M8" s="80">
        <v>5</v>
      </c>
      <c r="N8" s="81">
        <f t="shared" si="4"/>
        <v>2374.0458015267177</v>
      </c>
      <c r="O8" s="76">
        <f t="shared" si="5"/>
        <v>11870.229007633588</v>
      </c>
      <c r="P8" s="77">
        <f t="shared" si="6"/>
        <v>11870.229007633588</v>
      </c>
      <c r="Q8" s="82"/>
      <c r="R8" s="79">
        <f>((0)*4+(0.1)*1)/S8</f>
        <v>1.4285714285714287E-2</v>
      </c>
      <c r="S8" s="80">
        <v>7</v>
      </c>
      <c r="T8" s="81">
        <f t="shared" si="7"/>
        <v>3391.4940021810253</v>
      </c>
      <c r="U8" s="76">
        <f t="shared" si="8"/>
        <v>23740.458015267177</v>
      </c>
      <c r="V8" s="76">
        <f t="shared" si="9"/>
        <v>23740.458015267177</v>
      </c>
      <c r="W8" s="83"/>
      <c r="X8" s="83"/>
      <c r="Y8" s="83"/>
      <c r="Z8" s="83"/>
    </row>
    <row r="9" spans="1:26" ht="14.25" customHeight="1">
      <c r="A9" s="119" t="s">
        <v>104</v>
      </c>
      <c r="B9" s="120">
        <f t="shared" si="12"/>
        <v>214031.35252808989</v>
      </c>
      <c r="C9" s="70">
        <v>7.12</v>
      </c>
      <c r="D9" s="121">
        <v>1523903.23</v>
      </c>
      <c r="E9" s="72"/>
      <c r="F9" s="73">
        <f>((0)*1+(0.1)*1+(0.25)*1+(0.5)*1)/G9</f>
        <v>0.21249999999999999</v>
      </c>
      <c r="G9" s="74">
        <v>4</v>
      </c>
      <c r="H9" s="75">
        <f t="shared" si="1"/>
        <v>45481.662412219099</v>
      </c>
      <c r="I9" s="76">
        <f t="shared" si="2"/>
        <v>181926.6496488764</v>
      </c>
      <c r="J9" s="77">
        <f t="shared" si="3"/>
        <v>227408.31206109549</v>
      </c>
      <c r="K9" s="78"/>
      <c r="L9" s="79">
        <f>((-0.25)*1+(0)*1+(0.1)*1+(0.5)*1)/M9</f>
        <v>6.9999999999999993E-2</v>
      </c>
      <c r="M9" s="80">
        <v>5</v>
      </c>
      <c r="N9" s="81">
        <f t="shared" si="4"/>
        <v>14982.19467696629</v>
      </c>
      <c r="O9" s="76">
        <f t="shared" si="5"/>
        <v>74910.97338483145</v>
      </c>
      <c r="P9" s="77">
        <f t="shared" si="6"/>
        <v>74910.97338483145</v>
      </c>
      <c r="Q9" s="82"/>
      <c r="R9" s="79">
        <f>((0)*3+(0.1)*1+(0.2)*1+(0.5)*1)/S9</f>
        <v>0.1142857142857143</v>
      </c>
      <c r="S9" s="80">
        <v>7</v>
      </c>
      <c r="T9" s="81">
        <f t="shared" si="7"/>
        <v>24460.726003210275</v>
      </c>
      <c r="U9" s="76">
        <f t="shared" si="8"/>
        <v>171225.08202247194</v>
      </c>
      <c r="V9" s="76">
        <f t="shared" si="9"/>
        <v>171225.08202247194</v>
      </c>
      <c r="W9" s="83"/>
      <c r="X9" s="83"/>
      <c r="Y9" s="83"/>
      <c r="Z9" s="83"/>
    </row>
    <row r="10" spans="1:26" ht="14.25" customHeight="1">
      <c r="A10" s="122" t="s">
        <v>105</v>
      </c>
      <c r="B10" s="120">
        <f t="shared" si="12"/>
        <v>200020.11850311852</v>
      </c>
      <c r="C10" s="85">
        <v>4.8099999999999996</v>
      </c>
      <c r="D10" s="123">
        <v>962096.77</v>
      </c>
      <c r="E10" s="124"/>
      <c r="F10" s="73">
        <f>((0.5)*3)/G10</f>
        <v>0.375</v>
      </c>
      <c r="G10" s="74">
        <v>4</v>
      </c>
      <c r="H10" s="75">
        <f t="shared" si="1"/>
        <v>75007.544438669443</v>
      </c>
      <c r="I10" s="76">
        <f t="shared" si="2"/>
        <v>300030.17775467777</v>
      </c>
      <c r="J10" s="77">
        <f t="shared" si="3"/>
        <v>375037.72219334723</v>
      </c>
      <c r="K10" s="78"/>
      <c r="L10" s="79">
        <f>((0)*3+(0.2)*1)/M10</f>
        <v>0.04</v>
      </c>
      <c r="M10" s="80">
        <v>5</v>
      </c>
      <c r="N10" s="81">
        <f t="shared" si="4"/>
        <v>8000.8047401247404</v>
      </c>
      <c r="O10" s="76">
        <f t="shared" si="5"/>
        <v>40004.0237006237</v>
      </c>
      <c r="P10" s="77">
        <f t="shared" si="6"/>
        <v>40004.0237006237</v>
      </c>
      <c r="Q10" s="82"/>
      <c r="R10" s="79">
        <f>(0)*5/S10</f>
        <v>0</v>
      </c>
      <c r="S10" s="80">
        <v>7</v>
      </c>
      <c r="T10" s="81">
        <f t="shared" si="7"/>
        <v>0</v>
      </c>
      <c r="U10" s="76">
        <f t="shared" si="8"/>
        <v>0</v>
      </c>
      <c r="V10" s="76">
        <f t="shared" si="9"/>
        <v>0</v>
      </c>
      <c r="W10" s="83"/>
      <c r="X10" s="83"/>
      <c r="Y10" s="83"/>
      <c r="Z10" s="83"/>
    </row>
    <row r="11" spans="1:26" ht="14.25" customHeight="1">
      <c r="A11" s="122" t="s">
        <v>106</v>
      </c>
      <c r="B11" s="120">
        <f t="shared" si="12"/>
        <v>200000</v>
      </c>
      <c r="C11" s="85">
        <v>6</v>
      </c>
      <c r="D11" s="123">
        <v>1200000</v>
      </c>
      <c r="E11" s="124"/>
      <c r="F11" s="73">
        <f>((0.1)*1+(0.25)*2+(1)*1)/G11</f>
        <v>0.4</v>
      </c>
      <c r="G11" s="74">
        <v>4</v>
      </c>
      <c r="H11" s="75">
        <f t="shared" si="1"/>
        <v>80000</v>
      </c>
      <c r="I11" s="76">
        <f t="shared" si="2"/>
        <v>320000</v>
      </c>
      <c r="J11" s="77">
        <f t="shared" si="3"/>
        <v>400000</v>
      </c>
      <c r="K11" s="78"/>
      <c r="L11" s="79">
        <f>((-0.1)*1+(0)*2+(0.1)*1)/M11</f>
        <v>0</v>
      </c>
      <c r="M11" s="80">
        <v>5</v>
      </c>
      <c r="N11" s="81">
        <f t="shared" si="4"/>
        <v>0</v>
      </c>
      <c r="O11" s="76">
        <f t="shared" si="5"/>
        <v>0</v>
      </c>
      <c r="P11" s="77">
        <f t="shared" si="6"/>
        <v>0</v>
      </c>
      <c r="Q11" s="82"/>
      <c r="R11" s="79">
        <f>((0)*3+(0.1)*1+(0.2)*1)/S11</f>
        <v>4.2857142857142864E-2</v>
      </c>
      <c r="S11" s="80">
        <v>7</v>
      </c>
      <c r="T11" s="81">
        <f t="shared" si="7"/>
        <v>8571.4285714285725</v>
      </c>
      <c r="U11" s="76">
        <f t="shared" si="8"/>
        <v>60000.000000000007</v>
      </c>
      <c r="V11" s="76">
        <f t="shared" si="9"/>
        <v>60000.000000000007</v>
      </c>
      <c r="W11" s="83"/>
      <c r="X11" s="83"/>
      <c r="Y11" s="83"/>
      <c r="Z11" s="83"/>
    </row>
    <row r="12" spans="1:26" ht="14.25" customHeight="1">
      <c r="A12" s="119" t="s">
        <v>107</v>
      </c>
      <c r="B12" s="120">
        <f t="shared" si="12"/>
        <v>218045.11278195487</v>
      </c>
      <c r="C12" s="70">
        <v>6.65</v>
      </c>
      <c r="D12" s="121">
        <v>1450000</v>
      </c>
      <c r="E12" s="72"/>
      <c r="F12" s="73">
        <f>((0.1)*1+(0.5)*2+(1.25)*1)/G12</f>
        <v>0.58750000000000002</v>
      </c>
      <c r="G12" s="74">
        <v>4</v>
      </c>
      <c r="H12" s="75">
        <f t="shared" si="1"/>
        <v>128101.50375939849</v>
      </c>
      <c r="I12" s="76">
        <f t="shared" si="2"/>
        <v>512406.01503759396</v>
      </c>
      <c r="J12" s="77">
        <f t="shared" si="3"/>
        <v>640507.51879699249</v>
      </c>
      <c r="K12" s="78"/>
      <c r="L12" s="79">
        <f>((0)*1+(0.25)*2+(1)*1)/M12</f>
        <v>0.3</v>
      </c>
      <c r="M12" s="80">
        <v>5</v>
      </c>
      <c r="N12" s="81">
        <f t="shared" si="4"/>
        <v>65413.533834586458</v>
      </c>
      <c r="O12" s="76">
        <f t="shared" si="5"/>
        <v>327067.66917293228</v>
      </c>
      <c r="P12" s="77">
        <f t="shared" si="6"/>
        <v>327067.66917293228</v>
      </c>
      <c r="Q12" s="82"/>
      <c r="R12" s="79">
        <f>((0)*3+(0.2)*2+(0.3)*1+(0.5)*1)/S12</f>
        <v>0.17142857142857143</v>
      </c>
      <c r="S12" s="80">
        <v>7</v>
      </c>
      <c r="T12" s="81">
        <f t="shared" si="7"/>
        <v>37379.162191192263</v>
      </c>
      <c r="U12" s="76">
        <f t="shared" si="8"/>
        <v>261654.13533834583</v>
      </c>
      <c r="V12" s="76">
        <f t="shared" si="9"/>
        <v>261654.13533834583</v>
      </c>
      <c r="W12" s="83"/>
      <c r="X12" s="83"/>
      <c r="Y12" s="83"/>
      <c r="Z12" s="83"/>
    </row>
    <row r="13" spans="1:26" ht="14.25" customHeight="1">
      <c r="A13" s="119" t="s">
        <v>108</v>
      </c>
      <c r="B13" s="120">
        <f t="shared" si="12"/>
        <v>238512.03501094089</v>
      </c>
      <c r="C13" s="70">
        <v>9.14</v>
      </c>
      <c r="D13" s="121">
        <v>2180000</v>
      </c>
      <c r="E13" s="72"/>
      <c r="F13" s="73">
        <f>((0.1)*1+(0.25)*1+(0.5)*1+(2)*1)/G13</f>
        <v>0.71250000000000002</v>
      </c>
      <c r="G13" s="74">
        <v>4</v>
      </c>
      <c r="H13" s="75">
        <f t="shared" si="1"/>
        <v>169939.82494529538</v>
      </c>
      <c r="I13" s="76">
        <f t="shared" si="2"/>
        <v>679759.2997811815</v>
      </c>
      <c r="J13" s="77">
        <f t="shared" si="3"/>
        <v>849699.12472647685</v>
      </c>
      <c r="K13" s="78"/>
      <c r="L13" s="79">
        <f>((0)*3+(0.1)*1)/M13</f>
        <v>0.02</v>
      </c>
      <c r="M13" s="80">
        <v>5</v>
      </c>
      <c r="N13" s="81">
        <f t="shared" si="4"/>
        <v>4770.2407002188183</v>
      </c>
      <c r="O13" s="76">
        <f t="shared" si="5"/>
        <v>23851.203501094093</v>
      </c>
      <c r="P13" s="77">
        <f t="shared" si="6"/>
        <v>23851.203501094093</v>
      </c>
      <c r="Q13" s="82"/>
      <c r="R13" s="79">
        <f>((0)*4+(0.1)*1+(0.2)*1)/S13</f>
        <v>4.2857142857142864E-2</v>
      </c>
      <c r="S13" s="80">
        <v>7</v>
      </c>
      <c r="T13" s="81">
        <f t="shared" si="7"/>
        <v>10221.944357611754</v>
      </c>
      <c r="U13" s="76">
        <f t="shared" si="8"/>
        <v>71553.610503282282</v>
      </c>
      <c r="V13" s="76">
        <f t="shared" si="9"/>
        <v>71553.610503282282</v>
      </c>
      <c r="W13" s="83"/>
      <c r="X13" s="83"/>
      <c r="Y13" s="83"/>
      <c r="Z13" s="83"/>
    </row>
    <row r="14" spans="1:26" ht="14.25" customHeight="1">
      <c r="A14" s="119" t="s">
        <v>109</v>
      </c>
      <c r="B14" s="120">
        <f>D6/C6</f>
        <v>216739.13043478262</v>
      </c>
      <c r="C14" s="70" t="s">
        <v>102</v>
      </c>
      <c r="D14" s="121" t="s">
        <v>102</v>
      </c>
      <c r="E14" s="72"/>
      <c r="F14" s="73">
        <f>((0)*2+(0.2)*1+(0.5)*1)/G14</f>
        <v>0.17499999999999999</v>
      </c>
      <c r="G14" s="74">
        <v>4</v>
      </c>
      <c r="H14" s="75">
        <f t="shared" si="1"/>
        <v>37929.34782608696</v>
      </c>
      <c r="I14" s="76">
        <f t="shared" si="2"/>
        <v>151717.39130434784</v>
      </c>
      <c r="J14" s="77">
        <f t="shared" si="3"/>
        <v>189646.73913043481</v>
      </c>
      <c r="K14" s="78"/>
      <c r="L14" s="79">
        <f>((-0.1)*1+(0)*3+(0.25)*1)/M14</f>
        <v>0.03</v>
      </c>
      <c r="M14" s="80">
        <v>5</v>
      </c>
      <c r="N14" s="81">
        <f t="shared" si="4"/>
        <v>6502.173913043478</v>
      </c>
      <c r="O14" s="76">
        <f t="shared" si="5"/>
        <v>32510.869565217392</v>
      </c>
      <c r="P14" s="77">
        <f t="shared" si="6"/>
        <v>32510.869565217392</v>
      </c>
      <c r="Q14" s="82"/>
      <c r="R14" s="79">
        <f>(0)*5/S14</f>
        <v>0</v>
      </c>
      <c r="S14" s="80">
        <v>7</v>
      </c>
      <c r="T14" s="81">
        <f t="shared" si="7"/>
        <v>0</v>
      </c>
      <c r="U14" s="76">
        <f t="shared" si="8"/>
        <v>0</v>
      </c>
      <c r="V14" s="76">
        <f t="shared" si="9"/>
        <v>0</v>
      </c>
      <c r="W14" s="83"/>
      <c r="X14" s="83"/>
      <c r="Y14" s="83"/>
      <c r="Z14" s="83"/>
    </row>
    <row r="15" spans="1:26" ht="14.25" customHeight="1">
      <c r="A15" s="122" t="s">
        <v>110</v>
      </c>
      <c r="B15" s="120">
        <f t="shared" ref="B15:B16" si="13">D15/C15</f>
        <v>201114.02359108781</v>
      </c>
      <c r="C15" s="85">
        <v>15.26</v>
      </c>
      <c r="D15" s="123">
        <v>3069000</v>
      </c>
      <c r="E15" s="124"/>
      <c r="F15" s="73">
        <f>((0)*1+(0.1)*1+(0.25)*1+(0.75)*1)/G15</f>
        <v>0.27500000000000002</v>
      </c>
      <c r="G15" s="74">
        <v>4</v>
      </c>
      <c r="H15" s="75">
        <f t="shared" si="1"/>
        <v>55306.35648754915</v>
      </c>
      <c r="I15" s="76">
        <f t="shared" si="2"/>
        <v>221225.4259501966</v>
      </c>
      <c r="J15" s="77">
        <f t="shared" si="3"/>
        <v>276531.78243774577</v>
      </c>
      <c r="K15" s="78"/>
      <c r="L15" s="79">
        <f>((0)*1+(0.1)*1+(0.25)*2)/M15</f>
        <v>0.12</v>
      </c>
      <c r="M15" s="80">
        <v>5</v>
      </c>
      <c r="N15" s="81">
        <f t="shared" si="4"/>
        <v>24133.682830930535</v>
      </c>
      <c r="O15" s="76">
        <f t="shared" si="5"/>
        <v>120668.41415465268</v>
      </c>
      <c r="P15" s="77">
        <f t="shared" si="6"/>
        <v>120668.41415465268</v>
      </c>
      <c r="Q15" s="82"/>
      <c r="R15" s="79">
        <f>((0)*4+(0.5)*1)/S15</f>
        <v>7.1428571428571425E-2</v>
      </c>
      <c r="S15" s="80">
        <v>7</v>
      </c>
      <c r="T15" s="81">
        <f t="shared" si="7"/>
        <v>14365.287399363415</v>
      </c>
      <c r="U15" s="76">
        <f t="shared" si="8"/>
        <v>100557.01179554391</v>
      </c>
      <c r="V15" s="76">
        <f t="shared" si="9"/>
        <v>100557.01179554391</v>
      </c>
      <c r="W15" s="83"/>
      <c r="X15" s="83"/>
      <c r="Y15" s="83"/>
      <c r="Z15" s="83"/>
    </row>
    <row r="16" spans="1:26" ht="41.25" customHeight="1">
      <c r="A16" s="125" t="s">
        <v>111</v>
      </c>
      <c r="B16" s="126">
        <f t="shared" si="13"/>
        <v>207000.28113578859</v>
      </c>
      <c r="C16" s="90">
        <v>35.57</v>
      </c>
      <c r="D16" s="127">
        <v>7363000</v>
      </c>
      <c r="E16" s="124"/>
      <c r="F16" s="92">
        <f>((0)*1+(2.5)*1+(5)*1+(10)*1)/G16</f>
        <v>4.375</v>
      </c>
      <c r="G16" s="93">
        <v>4</v>
      </c>
      <c r="H16" s="94">
        <f t="shared" si="1"/>
        <v>905626.22996907507</v>
      </c>
      <c r="I16" s="95">
        <f t="shared" si="2"/>
        <v>3622504.9198763003</v>
      </c>
      <c r="J16" s="96">
        <f t="shared" si="3"/>
        <v>4528131.1498453757</v>
      </c>
      <c r="K16" s="78"/>
      <c r="L16" s="97">
        <f>((0)*2+(0.5)*1+(0.75)*1)/M16</f>
        <v>0.25</v>
      </c>
      <c r="M16" s="128">
        <v>5</v>
      </c>
      <c r="N16" s="98">
        <f t="shared" si="4"/>
        <v>51750.070283947149</v>
      </c>
      <c r="O16" s="95">
        <f t="shared" si="5"/>
        <v>258750.35141973576</v>
      </c>
      <c r="P16" s="96">
        <f t="shared" si="6"/>
        <v>258750.35141973576</v>
      </c>
      <c r="Q16" s="82"/>
      <c r="R16" s="97">
        <f>((0)*4+(0.25)*1)/S16</f>
        <v>3.5714285714285712E-2</v>
      </c>
      <c r="S16" s="128">
        <v>7</v>
      </c>
      <c r="T16" s="98">
        <f t="shared" si="7"/>
        <v>7392.8671834210209</v>
      </c>
      <c r="U16" s="95">
        <f t="shared" si="8"/>
        <v>51750.070283947149</v>
      </c>
      <c r="V16" s="95">
        <f t="shared" si="9"/>
        <v>51750.070283947149</v>
      </c>
      <c r="W16" s="83"/>
      <c r="X16" s="83"/>
      <c r="Y16" s="83"/>
      <c r="Z16" s="83"/>
    </row>
    <row r="17" spans="1:26" ht="14.25" customHeight="1">
      <c r="A17" s="99" t="s">
        <v>112</v>
      </c>
      <c r="B17" s="99"/>
      <c r="C17" s="129">
        <f t="shared" ref="C17:D17" si="14">SUM(C4:C16)</f>
        <v>109.25999999999999</v>
      </c>
      <c r="D17" s="130">
        <f t="shared" si="14"/>
        <v>23067000</v>
      </c>
      <c r="E17" s="108"/>
      <c r="F17" s="103">
        <f>SUM(F4:F16)</f>
        <v>12.137500000000003</v>
      </c>
      <c r="G17" s="104"/>
      <c r="H17" s="106"/>
      <c r="I17" s="106">
        <f t="shared" ref="I17:J17" si="15">SUM(I4:I16)</f>
        <v>10255076.708288254</v>
      </c>
      <c r="J17" s="107">
        <f t="shared" si="15"/>
        <v>12818845.885360319</v>
      </c>
      <c r="K17" s="108"/>
      <c r="L17" s="103">
        <f>SUM(L4:L16)</f>
        <v>1.0499999999999998</v>
      </c>
      <c r="M17" s="104"/>
      <c r="N17" s="106"/>
      <c r="O17" s="106">
        <f t="shared" ref="O17:P17" si="16">SUM(O4:O16)</f>
        <v>1107632.7227843751</v>
      </c>
      <c r="P17" s="107">
        <f t="shared" si="16"/>
        <v>1107632.7227843751</v>
      </c>
      <c r="Q17" s="108"/>
      <c r="R17" s="103">
        <f>SUM(R4:R16)</f>
        <v>0.63571428571428568</v>
      </c>
      <c r="S17" s="104"/>
      <c r="T17" s="106"/>
      <c r="U17" s="106">
        <f t="shared" ref="U17:V17" si="17">SUM(U4:U16)</f>
        <v>949782.69354025379</v>
      </c>
      <c r="V17" s="106">
        <f t="shared" si="17"/>
        <v>949782.69354025379</v>
      </c>
      <c r="W17" s="83"/>
      <c r="X17" s="83"/>
      <c r="Y17" s="83"/>
      <c r="Z17" s="83"/>
    </row>
    <row r="18" spans="1:26" ht="14.25" customHeight="1">
      <c r="A18" s="131" t="s">
        <v>113</v>
      </c>
    </row>
    <row r="19" spans="1:26" ht="14.25" customHeight="1">
      <c r="A19" s="112" t="s">
        <v>114</v>
      </c>
    </row>
    <row r="20" spans="1:26" ht="14.25" customHeight="1"/>
    <row r="21" spans="1:26" ht="14.25" customHeight="1">
      <c r="B21" s="113" t="s">
        <v>115</v>
      </c>
      <c r="C21" s="113" t="s">
        <v>116</v>
      </c>
    </row>
    <row r="22" spans="1:26" ht="14.25" customHeight="1">
      <c r="B22" s="113" t="s">
        <v>117</v>
      </c>
      <c r="C22" s="113" t="s">
        <v>118</v>
      </c>
    </row>
    <row r="23" spans="1:26" ht="14.25" customHeight="1">
      <c r="B23" s="113" t="s">
        <v>119</v>
      </c>
      <c r="C23" s="113" t="s">
        <v>120</v>
      </c>
    </row>
    <row r="24" spans="1:26" ht="14.25" customHeight="1">
      <c r="B24" s="113" t="s">
        <v>121</v>
      </c>
      <c r="C24" s="113" t="s">
        <v>122</v>
      </c>
    </row>
    <row r="25" spans="1:26" ht="14.25" customHeight="1">
      <c r="B25" s="113" t="s">
        <v>123</v>
      </c>
      <c r="C25" s="113" t="s">
        <v>124</v>
      </c>
    </row>
    <row r="26" spans="1:26" ht="14.25" customHeight="1">
      <c r="B26" s="113" t="s">
        <v>125</v>
      </c>
      <c r="C26" s="113" t="s">
        <v>126</v>
      </c>
    </row>
    <row r="27" spans="1:26" ht="14.25" customHeight="1"/>
    <row r="28" spans="1:26" ht="14.25" customHeight="1"/>
    <row r="29" spans="1:26" ht="14.25" customHeight="1"/>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2:B2"/>
    <mergeCell ref="F2:J2"/>
    <mergeCell ref="L2:P2"/>
    <mergeCell ref="R2:V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4.453125" defaultRowHeight="15" customHeight="1"/>
  <cols>
    <col min="1" max="1" width="22.7265625" customWidth="1"/>
    <col min="2" max="2" width="10.26953125" customWidth="1"/>
    <col min="3" max="3" width="8.26953125" customWidth="1"/>
    <col min="4" max="4" width="11.7265625" customWidth="1"/>
    <col min="5" max="5" width="0.453125" customWidth="1"/>
    <col min="6" max="6" width="7.453125" customWidth="1"/>
    <col min="7" max="7" width="8.7265625" customWidth="1"/>
    <col min="8" max="8" width="9.453125" customWidth="1"/>
    <col min="9" max="9" width="10.7265625" customWidth="1"/>
    <col min="10" max="10" width="11.26953125" customWidth="1"/>
    <col min="11" max="11" width="0.453125" customWidth="1"/>
    <col min="12" max="12" width="7.7265625" customWidth="1"/>
    <col min="13" max="14" width="8.7265625" customWidth="1"/>
    <col min="15" max="15" width="10" customWidth="1"/>
    <col min="16" max="16" width="11.7265625" customWidth="1"/>
    <col min="17" max="17" width="0.453125" customWidth="1"/>
    <col min="18" max="18" width="7.7265625" customWidth="1"/>
    <col min="19" max="20" width="8.7265625" customWidth="1"/>
    <col min="21" max="22" width="11.26953125" customWidth="1"/>
    <col min="23" max="26" width="8.7265625" customWidth="1"/>
  </cols>
  <sheetData>
    <row r="1" spans="1:26" ht="14.25" customHeight="1">
      <c r="A1" s="14" t="s">
        <v>133</v>
      </c>
    </row>
    <row r="2" spans="1:26" ht="14.25" customHeight="1">
      <c r="A2" s="318" t="s">
        <v>134</v>
      </c>
      <c r="B2" s="311"/>
      <c r="C2" s="115"/>
      <c r="D2" s="116"/>
      <c r="E2" s="65"/>
      <c r="F2" s="319" t="s">
        <v>78</v>
      </c>
      <c r="G2" s="313"/>
      <c r="H2" s="313"/>
      <c r="I2" s="313"/>
      <c r="J2" s="311"/>
      <c r="K2" s="117"/>
      <c r="L2" s="319" t="s">
        <v>79</v>
      </c>
      <c r="M2" s="313"/>
      <c r="N2" s="313"/>
      <c r="O2" s="313"/>
      <c r="P2" s="311"/>
      <c r="Q2" s="118"/>
      <c r="R2" s="320" t="s">
        <v>80</v>
      </c>
      <c r="S2" s="316"/>
      <c r="T2" s="316"/>
      <c r="U2" s="316"/>
      <c r="V2" s="317"/>
    </row>
    <row r="3" spans="1:26" ht="14.25" customHeight="1">
      <c r="A3" s="62" t="s">
        <v>81</v>
      </c>
      <c r="B3" s="63" t="s">
        <v>82</v>
      </c>
      <c r="C3" s="63" t="s">
        <v>83</v>
      </c>
      <c r="D3" s="64" t="s">
        <v>135</v>
      </c>
      <c r="E3" s="65"/>
      <c r="F3" s="66" t="s">
        <v>85</v>
      </c>
      <c r="G3" s="63" t="s">
        <v>129</v>
      </c>
      <c r="H3" s="63" t="s">
        <v>87</v>
      </c>
      <c r="I3" s="63" t="s">
        <v>88</v>
      </c>
      <c r="J3" s="64" t="s">
        <v>136</v>
      </c>
      <c r="K3" s="65"/>
      <c r="L3" s="66" t="s">
        <v>85</v>
      </c>
      <c r="M3" s="63" t="s">
        <v>130</v>
      </c>
      <c r="N3" s="63" t="s">
        <v>91</v>
      </c>
      <c r="O3" s="63" t="s">
        <v>92</v>
      </c>
      <c r="P3" s="64" t="s">
        <v>137</v>
      </c>
      <c r="Q3" s="67"/>
      <c r="R3" s="66" t="s">
        <v>85</v>
      </c>
      <c r="S3" s="63" t="s">
        <v>131</v>
      </c>
      <c r="T3" s="63" t="s">
        <v>95</v>
      </c>
      <c r="U3" s="63" t="s">
        <v>96</v>
      </c>
      <c r="V3" s="63" t="s">
        <v>138</v>
      </c>
    </row>
    <row r="4" spans="1:26" ht="14.25" customHeight="1">
      <c r="A4" s="119" t="s">
        <v>98</v>
      </c>
      <c r="B4" s="76">
        <f t="shared" ref="B4:B6" si="0">D4/C4</f>
        <v>153104.2735042735</v>
      </c>
      <c r="C4" s="70">
        <v>2.34</v>
      </c>
      <c r="D4" s="132">
        <v>358264</v>
      </c>
      <c r="E4" s="72"/>
      <c r="F4" s="73">
        <f>((0.5)*1+(2)*2+(3)*1)/G4</f>
        <v>1.875</v>
      </c>
      <c r="G4" s="74">
        <v>4</v>
      </c>
      <c r="H4" s="75">
        <f t="shared" ref="H4:H16" si="1">B4*F4</f>
        <v>287070.51282051281</v>
      </c>
      <c r="I4" s="76">
        <f t="shared" ref="I4:I16" si="2">H4*G4</f>
        <v>1148282.0512820513</v>
      </c>
      <c r="J4" s="77">
        <f t="shared" ref="J4:J16" si="3">H4*4</f>
        <v>1148282.0512820513</v>
      </c>
      <c r="K4" s="78"/>
      <c r="L4" s="79">
        <f>((0)*1+(0.5)*1)/M4</f>
        <v>0.25</v>
      </c>
      <c r="M4" s="80">
        <v>2</v>
      </c>
      <c r="N4" s="81">
        <f t="shared" ref="N4:N16" si="4">B4*L4</f>
        <v>38276.068376068375</v>
      </c>
      <c r="O4" s="76">
        <f t="shared" ref="O4:O16" si="5">N4*M4</f>
        <v>76552.13675213675</v>
      </c>
      <c r="P4" s="77">
        <f t="shared" ref="P4:P16" si="6">N4*8</f>
        <v>306208.547008547</v>
      </c>
      <c r="Q4" s="82"/>
      <c r="R4" s="79">
        <f>((0)*9+(0.1)*4)/S4</f>
        <v>3.0769230769230771E-2</v>
      </c>
      <c r="S4" s="80">
        <v>13</v>
      </c>
      <c r="T4" s="81">
        <f t="shared" ref="T4:T16" si="7">B4*R4</f>
        <v>4710.9007232084159</v>
      </c>
      <c r="U4" s="76">
        <f t="shared" ref="U4:U16" si="8">T4*S4</f>
        <v>61241.709401709406</v>
      </c>
      <c r="V4" s="76">
        <f t="shared" ref="V4:V16" si="9">T4*21</f>
        <v>98928.915187376741</v>
      </c>
      <c r="W4" s="83"/>
      <c r="X4" s="83"/>
      <c r="Y4" s="83"/>
      <c r="Z4" s="83"/>
    </row>
    <row r="5" spans="1:26" ht="14.25" customHeight="1">
      <c r="A5" s="122" t="s">
        <v>99</v>
      </c>
      <c r="B5" s="76">
        <f t="shared" si="0"/>
        <v>132683.15217391305</v>
      </c>
      <c r="C5" s="85">
        <v>5.52</v>
      </c>
      <c r="D5" s="132">
        <v>732411</v>
      </c>
      <c r="E5" s="124"/>
      <c r="F5" s="73">
        <f>((0.2)*1+(0.25)*1+(0.5)*2)/G5</f>
        <v>0.36249999999999999</v>
      </c>
      <c r="G5" s="74">
        <v>4</v>
      </c>
      <c r="H5" s="75">
        <f t="shared" si="1"/>
        <v>48097.64266304348</v>
      </c>
      <c r="I5" s="76">
        <f t="shared" si="2"/>
        <v>192390.57065217392</v>
      </c>
      <c r="J5" s="77">
        <f t="shared" si="3"/>
        <v>192390.57065217392</v>
      </c>
      <c r="K5" s="78"/>
      <c r="L5" s="79">
        <f>((0)*2)/M5</f>
        <v>0</v>
      </c>
      <c r="M5" s="80">
        <v>2</v>
      </c>
      <c r="N5" s="81">
        <f t="shared" si="4"/>
        <v>0</v>
      </c>
      <c r="O5" s="76">
        <f t="shared" si="5"/>
        <v>0</v>
      </c>
      <c r="P5" s="77">
        <f t="shared" si="6"/>
        <v>0</v>
      </c>
      <c r="Q5" s="82"/>
      <c r="R5" s="79">
        <f>((0)*10+(0.1)*1+(0.2)*1+(1)*1)/S5</f>
        <v>0.1</v>
      </c>
      <c r="S5" s="80">
        <v>13</v>
      </c>
      <c r="T5" s="81">
        <f t="shared" si="7"/>
        <v>13268.315217391306</v>
      </c>
      <c r="U5" s="76">
        <f t="shared" si="8"/>
        <v>172488.09782608697</v>
      </c>
      <c r="V5" s="76">
        <f t="shared" si="9"/>
        <v>278634.61956521741</v>
      </c>
      <c r="W5" s="83"/>
      <c r="X5" s="83"/>
      <c r="Y5" s="83"/>
      <c r="Z5" s="83"/>
    </row>
    <row r="6" spans="1:26" ht="14.25" customHeight="1">
      <c r="A6" s="119" t="s">
        <v>100</v>
      </c>
      <c r="B6" s="76">
        <f t="shared" si="0"/>
        <v>197349.48594928032</v>
      </c>
      <c r="C6" s="70">
        <v>14.59</v>
      </c>
      <c r="D6" s="77">
        <v>2879329</v>
      </c>
      <c r="E6" s="72"/>
      <c r="F6" s="73">
        <f>((0)*2+(0.2)*1+(1)*1)/G6</f>
        <v>0.3</v>
      </c>
      <c r="G6" s="74">
        <v>4</v>
      </c>
      <c r="H6" s="75">
        <f t="shared" si="1"/>
        <v>59204.845784784091</v>
      </c>
      <c r="I6" s="76">
        <f t="shared" si="2"/>
        <v>236819.38313913636</v>
      </c>
      <c r="J6" s="77">
        <f t="shared" si="3"/>
        <v>236819.38313913636</v>
      </c>
      <c r="K6" s="78"/>
      <c r="L6" s="79">
        <f>((0)*1+(0.01)*1)/M6</f>
        <v>5.0000000000000001E-3</v>
      </c>
      <c r="M6" s="80">
        <v>2</v>
      </c>
      <c r="N6" s="81">
        <f t="shared" si="4"/>
        <v>986.74742974640162</v>
      </c>
      <c r="O6" s="76">
        <f t="shared" si="5"/>
        <v>1973.4948594928032</v>
      </c>
      <c r="P6" s="77">
        <f t="shared" si="6"/>
        <v>7893.979437971213</v>
      </c>
      <c r="Q6" s="82"/>
      <c r="R6" s="79">
        <f>((0)*12+(0.2)*1)/S6</f>
        <v>1.5384615384615385E-2</v>
      </c>
      <c r="S6" s="80">
        <v>13</v>
      </c>
      <c r="T6" s="81">
        <f t="shared" si="7"/>
        <v>3036.1459376812359</v>
      </c>
      <c r="U6" s="76">
        <f t="shared" si="8"/>
        <v>39469.897189856063</v>
      </c>
      <c r="V6" s="76">
        <f t="shared" si="9"/>
        <v>63759.064691305954</v>
      </c>
      <c r="W6" s="83"/>
      <c r="X6" s="83"/>
      <c r="Y6" s="83"/>
      <c r="Z6" s="83"/>
    </row>
    <row r="7" spans="1:26" ht="14.25" customHeight="1">
      <c r="A7" s="119" t="s">
        <v>101</v>
      </c>
      <c r="B7" s="76">
        <f>D6/C6</f>
        <v>197349.48594928032</v>
      </c>
      <c r="C7" s="70" t="s">
        <v>102</v>
      </c>
      <c r="D7" s="77" t="s">
        <v>102</v>
      </c>
      <c r="E7" s="72"/>
      <c r="F7" s="73">
        <f>((0)*1+(0.1)*1+(0.25)*1+(1)*1)/G7</f>
        <v>0.33750000000000002</v>
      </c>
      <c r="G7" s="74">
        <v>4</v>
      </c>
      <c r="H7" s="75">
        <f t="shared" si="1"/>
        <v>66605.451507882113</v>
      </c>
      <c r="I7" s="76">
        <f t="shared" si="2"/>
        <v>266421.80603152845</v>
      </c>
      <c r="J7" s="77">
        <f t="shared" si="3"/>
        <v>266421.80603152845</v>
      </c>
      <c r="K7" s="78"/>
      <c r="L7" s="79">
        <f>((0)*1+(0.1)*1)/M7</f>
        <v>0.05</v>
      </c>
      <c r="M7" s="80">
        <v>2</v>
      </c>
      <c r="N7" s="81">
        <f t="shared" si="4"/>
        <v>9867.4742974640176</v>
      </c>
      <c r="O7" s="76">
        <f t="shared" si="5"/>
        <v>19734.948594928035</v>
      </c>
      <c r="P7" s="77">
        <f t="shared" si="6"/>
        <v>78939.794379712141</v>
      </c>
      <c r="Q7" s="82"/>
      <c r="R7" s="79">
        <f>((0)*10+(0.1)*2+(0.06)*1)/S7</f>
        <v>0.02</v>
      </c>
      <c r="S7" s="80">
        <v>13</v>
      </c>
      <c r="T7" s="81">
        <f t="shared" si="7"/>
        <v>3946.9897189856065</v>
      </c>
      <c r="U7" s="76">
        <f t="shared" si="8"/>
        <v>51310.866346812887</v>
      </c>
      <c r="V7" s="76">
        <f t="shared" si="9"/>
        <v>82886.784098697739</v>
      </c>
      <c r="W7" s="83"/>
      <c r="X7" s="83"/>
      <c r="Y7" s="83"/>
      <c r="Z7" s="83"/>
    </row>
    <row r="8" spans="1:26" ht="14.25" customHeight="1">
      <c r="A8" s="119" t="s">
        <v>103</v>
      </c>
      <c r="B8" s="76">
        <f t="shared" ref="B8:B13" si="10">D8/C8</f>
        <v>79239</v>
      </c>
      <c r="C8" s="70">
        <v>3</v>
      </c>
      <c r="D8" s="77">
        <v>237717</v>
      </c>
      <c r="E8" s="72"/>
      <c r="F8" s="73">
        <f>((0.1)*2+(0.25)*2)/G8</f>
        <v>0.17499999999999999</v>
      </c>
      <c r="G8" s="74">
        <v>4</v>
      </c>
      <c r="H8" s="75">
        <f t="shared" si="1"/>
        <v>13866.824999999999</v>
      </c>
      <c r="I8" s="76">
        <f t="shared" si="2"/>
        <v>55467.299999999996</v>
      </c>
      <c r="J8" s="77">
        <f t="shared" si="3"/>
        <v>55467.299999999996</v>
      </c>
      <c r="K8" s="78"/>
      <c r="L8" s="79">
        <f>((0)*1+(0.5)*1)/M8</f>
        <v>0.25</v>
      </c>
      <c r="M8" s="80">
        <v>2</v>
      </c>
      <c r="N8" s="81">
        <f t="shared" si="4"/>
        <v>19809.75</v>
      </c>
      <c r="O8" s="76">
        <f t="shared" si="5"/>
        <v>39619.5</v>
      </c>
      <c r="P8" s="121">
        <f t="shared" si="6"/>
        <v>158478</v>
      </c>
      <c r="Q8" s="82"/>
      <c r="R8" s="79">
        <f>((0)*9+(0.05)*1+(0.1)*2+(0.2)*1)/S8</f>
        <v>3.4615384615384617E-2</v>
      </c>
      <c r="S8" s="80">
        <v>13</v>
      </c>
      <c r="T8" s="81">
        <f t="shared" si="7"/>
        <v>2742.8884615384618</v>
      </c>
      <c r="U8" s="76">
        <f t="shared" si="8"/>
        <v>35657.550000000003</v>
      </c>
      <c r="V8" s="76">
        <f t="shared" si="9"/>
        <v>57600.657692307701</v>
      </c>
      <c r="W8" s="83"/>
      <c r="X8" s="83"/>
      <c r="Y8" s="83"/>
      <c r="Z8" s="83"/>
    </row>
    <row r="9" spans="1:26" ht="14.25" customHeight="1">
      <c r="A9" s="119" t="s">
        <v>104</v>
      </c>
      <c r="B9" s="76">
        <f t="shared" si="10"/>
        <v>272771.73051519156</v>
      </c>
      <c r="C9" s="70">
        <v>7.57</v>
      </c>
      <c r="D9" s="77">
        <v>2064882</v>
      </c>
      <c r="E9" s="72"/>
      <c r="F9" s="73">
        <f t="shared" ref="F9:F10" si="11">((0)*1+(0.2)*1+(0.25)*1+(0.5)*1)/G9</f>
        <v>0.23749999999999999</v>
      </c>
      <c r="G9" s="74">
        <v>4</v>
      </c>
      <c r="H9" s="75">
        <f t="shared" si="1"/>
        <v>64783.285997357991</v>
      </c>
      <c r="I9" s="76">
        <f t="shared" si="2"/>
        <v>259133.14398943196</v>
      </c>
      <c r="J9" s="77">
        <f t="shared" si="3"/>
        <v>259133.14398943196</v>
      </c>
      <c r="K9" s="78"/>
      <c r="L9" s="79">
        <f>((0.25)*1+(0)*1)/M9</f>
        <v>0.125</v>
      </c>
      <c r="M9" s="80">
        <v>2</v>
      </c>
      <c r="N9" s="81">
        <f t="shared" si="4"/>
        <v>34096.466314398946</v>
      </c>
      <c r="O9" s="76">
        <f t="shared" si="5"/>
        <v>68192.932628797891</v>
      </c>
      <c r="P9" s="77">
        <f t="shared" si="6"/>
        <v>272771.73051519156</v>
      </c>
      <c r="Q9" s="82"/>
      <c r="R9" s="79">
        <f>((0)*2+(0.03)*1+(0.1)*3+(0.25)*3+(0.3)*1+(0.5)*1+(1)*2)/S9</f>
        <v>0.29846153846153844</v>
      </c>
      <c r="S9" s="80">
        <v>13</v>
      </c>
      <c r="T9" s="81">
        <f t="shared" si="7"/>
        <v>81411.870338380249</v>
      </c>
      <c r="U9" s="76">
        <f t="shared" si="8"/>
        <v>1058354.3143989432</v>
      </c>
      <c r="V9" s="76">
        <f t="shared" si="9"/>
        <v>1709649.2771059852</v>
      </c>
      <c r="W9" s="83"/>
      <c r="X9" s="83"/>
      <c r="Y9" s="83"/>
      <c r="Z9" s="83"/>
    </row>
    <row r="10" spans="1:26" ht="14.25" customHeight="1">
      <c r="A10" s="122" t="s">
        <v>105</v>
      </c>
      <c r="B10" s="76">
        <f t="shared" si="10"/>
        <v>242872.78688524591</v>
      </c>
      <c r="C10" s="85">
        <v>6.1</v>
      </c>
      <c r="D10" s="132">
        <v>1481524</v>
      </c>
      <c r="E10" s="124"/>
      <c r="F10" s="73">
        <f t="shared" si="11"/>
        <v>0.23749999999999999</v>
      </c>
      <c r="G10" s="74">
        <v>4</v>
      </c>
      <c r="H10" s="75">
        <f t="shared" si="1"/>
        <v>57682.2868852459</v>
      </c>
      <c r="I10" s="76">
        <f t="shared" si="2"/>
        <v>230729.1475409836</v>
      </c>
      <c r="J10" s="77">
        <f t="shared" si="3"/>
        <v>230729.1475409836</v>
      </c>
      <c r="K10" s="78"/>
      <c r="L10" s="79">
        <f>((0)*1+(0.05)*1)/M10</f>
        <v>2.5000000000000001E-2</v>
      </c>
      <c r="M10" s="80">
        <v>2</v>
      </c>
      <c r="N10" s="81">
        <f t="shared" si="4"/>
        <v>6071.8196721311479</v>
      </c>
      <c r="O10" s="76">
        <f t="shared" si="5"/>
        <v>12143.639344262296</v>
      </c>
      <c r="P10" s="121">
        <f t="shared" si="6"/>
        <v>48574.557377049183</v>
      </c>
      <c r="Q10" s="82"/>
      <c r="R10" s="79">
        <f>((0)*12+(0.05)*1)/S10</f>
        <v>3.8461538461538464E-3</v>
      </c>
      <c r="S10" s="80">
        <v>13</v>
      </c>
      <c r="T10" s="81">
        <f t="shared" si="7"/>
        <v>934.12610340479205</v>
      </c>
      <c r="U10" s="76">
        <f t="shared" si="8"/>
        <v>12143.639344262298</v>
      </c>
      <c r="V10" s="76">
        <f t="shared" si="9"/>
        <v>19616.648171500634</v>
      </c>
      <c r="W10" s="83"/>
      <c r="X10" s="83"/>
      <c r="Y10" s="83"/>
      <c r="Z10" s="83"/>
    </row>
    <row r="11" spans="1:26" ht="14.25" customHeight="1">
      <c r="A11" s="122" t="s">
        <v>106</v>
      </c>
      <c r="B11" s="76">
        <f t="shared" si="10"/>
        <v>126416.29464285713</v>
      </c>
      <c r="C11" s="85">
        <v>4.4800000000000004</v>
      </c>
      <c r="D11" s="132">
        <v>566345</v>
      </c>
      <c r="E11" s="124"/>
      <c r="F11" s="73">
        <f>((0.1)*1+(0.2)*1+(0.25)*1+(0.5)*1)/G11</f>
        <v>0.26250000000000001</v>
      </c>
      <c r="G11" s="74">
        <v>4</v>
      </c>
      <c r="H11" s="75">
        <f t="shared" si="1"/>
        <v>33184.27734375</v>
      </c>
      <c r="I11" s="76">
        <f t="shared" si="2"/>
        <v>132737.109375</v>
      </c>
      <c r="J11" s="77">
        <f t="shared" si="3"/>
        <v>132737.109375</v>
      </c>
      <c r="K11" s="78"/>
      <c r="L11" s="79">
        <f>((0)*1+(0.25)*1)/M11</f>
        <v>0.125</v>
      </c>
      <c r="M11" s="80">
        <v>2</v>
      </c>
      <c r="N11" s="81">
        <f t="shared" si="4"/>
        <v>15802.036830357141</v>
      </c>
      <c r="O11" s="76">
        <f t="shared" si="5"/>
        <v>31604.073660714283</v>
      </c>
      <c r="P11" s="121">
        <f t="shared" si="6"/>
        <v>126416.29464285713</v>
      </c>
      <c r="Q11" s="82"/>
      <c r="R11" s="79">
        <f>((0)*6+(0.06)*1+(0.1)*3+(0.2)*1+(0.25)*1+(0.5)*1)/S11</f>
        <v>0.10076923076923078</v>
      </c>
      <c r="S11" s="80">
        <v>13</v>
      </c>
      <c r="T11" s="81">
        <f t="shared" si="7"/>
        <v>12738.872767857143</v>
      </c>
      <c r="U11" s="76">
        <f t="shared" si="8"/>
        <v>165605.34598214287</v>
      </c>
      <c r="V11" s="76">
        <f t="shared" si="9"/>
        <v>267516.328125</v>
      </c>
      <c r="W11" s="83"/>
      <c r="X11" s="83"/>
      <c r="Y11" s="83"/>
      <c r="Z11" s="83"/>
    </row>
    <row r="12" spans="1:26" ht="14.25" customHeight="1">
      <c r="A12" s="119" t="s">
        <v>107</v>
      </c>
      <c r="B12" s="76">
        <f t="shared" si="10"/>
        <v>150548.92601431979</v>
      </c>
      <c r="C12" s="70">
        <v>8.3800000000000008</v>
      </c>
      <c r="D12" s="77">
        <v>1261600</v>
      </c>
      <c r="E12" s="72"/>
      <c r="F12" s="73">
        <f>((0.25)*1+(0.5)*1+(1)*1+(1.25)*1)/G12</f>
        <v>0.75</v>
      </c>
      <c r="G12" s="74">
        <v>4</v>
      </c>
      <c r="H12" s="75">
        <f t="shared" si="1"/>
        <v>112911.69451073985</v>
      </c>
      <c r="I12" s="76">
        <f t="shared" si="2"/>
        <v>451646.7780429594</v>
      </c>
      <c r="J12" s="77">
        <f t="shared" si="3"/>
        <v>451646.7780429594</v>
      </c>
      <c r="K12" s="78"/>
      <c r="L12" s="79">
        <f>((0)*1+(0.5)*1)/M12</f>
        <v>0.25</v>
      </c>
      <c r="M12" s="80">
        <v>2</v>
      </c>
      <c r="N12" s="81">
        <f t="shared" si="4"/>
        <v>37637.231503579947</v>
      </c>
      <c r="O12" s="76">
        <f t="shared" si="5"/>
        <v>75274.463007159895</v>
      </c>
      <c r="P12" s="121">
        <f t="shared" si="6"/>
        <v>301097.85202863958</v>
      </c>
      <c r="Q12" s="82"/>
      <c r="R12" s="79">
        <f>((0)*3+(0.1)*1+(0.13)*1+(0.2)*2+(0.25)*3+(1)*2+(2)*1)/S12</f>
        <v>0.41384615384615386</v>
      </c>
      <c r="S12" s="80">
        <v>13</v>
      </c>
      <c r="T12" s="81">
        <f t="shared" si="7"/>
        <v>62304.093996695425</v>
      </c>
      <c r="U12" s="76">
        <f t="shared" si="8"/>
        <v>809953.22195704048</v>
      </c>
      <c r="V12" s="76">
        <f t="shared" si="9"/>
        <v>1308385.9739306038</v>
      </c>
      <c r="W12" s="83"/>
      <c r="X12" s="83"/>
      <c r="Y12" s="83"/>
      <c r="Z12" s="83"/>
    </row>
    <row r="13" spans="1:26" ht="14.25" customHeight="1">
      <c r="A13" s="119" t="s">
        <v>108</v>
      </c>
      <c r="B13" s="76">
        <f t="shared" si="10"/>
        <v>209476.04651162791</v>
      </c>
      <c r="C13" s="70">
        <v>4.3</v>
      </c>
      <c r="D13" s="77">
        <v>900747</v>
      </c>
      <c r="E13" s="72"/>
      <c r="F13" s="73">
        <f>((0.1)*1+(0.25)*1+(0.5)*1+(2)*1)/G13</f>
        <v>0.71250000000000002</v>
      </c>
      <c r="G13" s="74">
        <v>4</v>
      </c>
      <c r="H13" s="75">
        <f t="shared" si="1"/>
        <v>149251.6831395349</v>
      </c>
      <c r="I13" s="76">
        <f t="shared" si="2"/>
        <v>597006.7325581396</v>
      </c>
      <c r="J13" s="77">
        <f t="shared" si="3"/>
        <v>597006.7325581396</v>
      </c>
      <c r="K13" s="78"/>
      <c r="L13" s="79">
        <f>((0)*1+(0.25)*1)/M13</f>
        <v>0.125</v>
      </c>
      <c r="M13" s="80">
        <v>2</v>
      </c>
      <c r="N13" s="81">
        <f t="shared" si="4"/>
        <v>26184.505813953489</v>
      </c>
      <c r="O13" s="76">
        <f t="shared" si="5"/>
        <v>52369.011627906977</v>
      </c>
      <c r="P13" s="121">
        <f t="shared" si="6"/>
        <v>209476.04651162791</v>
      </c>
      <c r="Q13" s="82"/>
      <c r="R13" s="79">
        <f>((0)*5+(0.02)*1+(0.1)*3+(0.2)*2+(0.25)*1+(1)*1)/S13</f>
        <v>0.15153846153846157</v>
      </c>
      <c r="S13" s="80">
        <v>13</v>
      </c>
      <c r="T13" s="81">
        <f t="shared" si="7"/>
        <v>31743.677817531312</v>
      </c>
      <c r="U13" s="76">
        <f t="shared" si="8"/>
        <v>412667.81162790704</v>
      </c>
      <c r="V13" s="76">
        <f t="shared" si="9"/>
        <v>666617.23416815756</v>
      </c>
      <c r="W13" s="83"/>
      <c r="X13" s="83"/>
      <c r="Y13" s="83"/>
      <c r="Z13" s="83"/>
    </row>
    <row r="14" spans="1:26" ht="14.25" customHeight="1">
      <c r="A14" s="119" t="s">
        <v>109</v>
      </c>
      <c r="B14" s="76">
        <f>D6/C6</f>
        <v>197349.48594928032</v>
      </c>
      <c r="C14" s="70" t="s">
        <v>102</v>
      </c>
      <c r="D14" s="77" t="s">
        <v>102</v>
      </c>
      <c r="E14" s="72"/>
      <c r="F14" s="73">
        <f>((0)*2+(0.1)*1+(0.2)*1)/G14</f>
        <v>7.5000000000000011E-2</v>
      </c>
      <c r="G14" s="74">
        <v>4</v>
      </c>
      <c r="H14" s="75">
        <f t="shared" si="1"/>
        <v>14801.211446196026</v>
      </c>
      <c r="I14" s="76">
        <f t="shared" si="2"/>
        <v>59204.845784784105</v>
      </c>
      <c r="J14" s="77">
        <f t="shared" si="3"/>
        <v>59204.845784784105</v>
      </c>
      <c r="K14" s="78"/>
      <c r="L14" s="79">
        <f>((0)*1+(0.2)*1)/M14</f>
        <v>0.1</v>
      </c>
      <c r="M14" s="80">
        <v>2</v>
      </c>
      <c r="N14" s="81">
        <f t="shared" si="4"/>
        <v>19734.948594928035</v>
      </c>
      <c r="O14" s="76">
        <f t="shared" si="5"/>
        <v>39469.89718985607</v>
      </c>
      <c r="P14" s="121">
        <f t="shared" si="6"/>
        <v>157879.58875942428</v>
      </c>
      <c r="Q14" s="82"/>
      <c r="R14" s="79">
        <f>((0)*9+(0.1)*1+(0.25)*1+(0.3)*1+(1)*1)/S14</f>
        <v>0.12692307692307692</v>
      </c>
      <c r="S14" s="80">
        <v>13</v>
      </c>
      <c r="T14" s="81">
        <f t="shared" si="7"/>
        <v>25048.203985870194</v>
      </c>
      <c r="U14" s="76">
        <f t="shared" si="8"/>
        <v>325626.65181631251</v>
      </c>
      <c r="V14" s="76">
        <f t="shared" si="9"/>
        <v>526012.28370327409</v>
      </c>
      <c r="W14" s="83"/>
      <c r="X14" s="83"/>
      <c r="Y14" s="83"/>
      <c r="Z14" s="83"/>
    </row>
    <row r="15" spans="1:26" ht="14.25" customHeight="1">
      <c r="A15" s="122" t="s">
        <v>110</v>
      </c>
      <c r="B15" s="76">
        <f t="shared" ref="B15:B16" si="12">D15/C15</f>
        <v>214954.85781990521</v>
      </c>
      <c r="C15" s="85">
        <v>8.44</v>
      </c>
      <c r="D15" s="132">
        <v>1814219</v>
      </c>
      <c r="E15" s="124"/>
      <c r="F15" s="73">
        <f>((0)*3+(0.25)*1)/G15</f>
        <v>6.25E-2</v>
      </c>
      <c r="G15" s="74">
        <v>4</v>
      </c>
      <c r="H15" s="75">
        <f t="shared" si="1"/>
        <v>13434.678613744076</v>
      </c>
      <c r="I15" s="76">
        <f t="shared" si="2"/>
        <v>53738.714454976303</v>
      </c>
      <c r="J15" s="77">
        <f t="shared" si="3"/>
        <v>53738.714454976303</v>
      </c>
      <c r="K15" s="78"/>
      <c r="L15" s="79">
        <f>((0)*1+(0.1)*1)/M15</f>
        <v>0.05</v>
      </c>
      <c r="M15" s="80">
        <v>2</v>
      </c>
      <c r="N15" s="81">
        <f t="shared" si="4"/>
        <v>10747.742890995261</v>
      </c>
      <c r="O15" s="76">
        <f t="shared" si="5"/>
        <v>21495.485781990523</v>
      </c>
      <c r="P15" s="121">
        <f t="shared" si="6"/>
        <v>85981.943127962091</v>
      </c>
      <c r="Q15" s="82"/>
      <c r="R15" s="79">
        <f>((0)*8+(0.1)*4+(0.5)*1)/S15</f>
        <v>6.9230769230769235E-2</v>
      </c>
      <c r="S15" s="80">
        <v>13</v>
      </c>
      <c r="T15" s="81">
        <f t="shared" si="7"/>
        <v>14881.490156762669</v>
      </c>
      <c r="U15" s="76">
        <f t="shared" si="8"/>
        <v>193459.3720379147</v>
      </c>
      <c r="V15" s="76">
        <f t="shared" si="9"/>
        <v>312511.29329201608</v>
      </c>
      <c r="W15" s="83"/>
      <c r="X15" s="83"/>
      <c r="Y15" s="83"/>
      <c r="Z15" s="83"/>
    </row>
    <row r="16" spans="1:26" ht="14.25" customHeight="1">
      <c r="A16" s="125" t="s">
        <v>111</v>
      </c>
      <c r="B16" s="95">
        <f t="shared" si="12"/>
        <v>225899.05695963785</v>
      </c>
      <c r="C16" s="90">
        <v>26.51</v>
      </c>
      <c r="D16" s="133">
        <v>5988584</v>
      </c>
      <c r="E16" s="124"/>
      <c r="F16" s="92">
        <f>((0)*1+(0.75)*1+(5)*1+(10)*1)/G16</f>
        <v>3.9375</v>
      </c>
      <c r="G16" s="93">
        <v>4</v>
      </c>
      <c r="H16" s="94">
        <f t="shared" si="1"/>
        <v>889477.53677857399</v>
      </c>
      <c r="I16" s="95">
        <f t="shared" si="2"/>
        <v>3557910.147114296</v>
      </c>
      <c r="J16" s="96">
        <f t="shared" si="3"/>
        <v>3557910.147114296</v>
      </c>
      <c r="K16" s="78"/>
      <c r="L16" s="97">
        <f>((0)*2)/M16</f>
        <v>0</v>
      </c>
      <c r="M16" s="128">
        <v>2</v>
      </c>
      <c r="N16" s="98">
        <f t="shared" si="4"/>
        <v>0</v>
      </c>
      <c r="O16" s="95">
        <f t="shared" si="5"/>
        <v>0</v>
      </c>
      <c r="P16" s="96">
        <f t="shared" si="6"/>
        <v>0</v>
      </c>
      <c r="Q16" s="82"/>
      <c r="R16" s="79">
        <f>((0)*8+(0.1)*2+(0.13)*1+(0.5)*1+(2)*1)/S16</f>
        <v>0.21769230769230768</v>
      </c>
      <c r="S16" s="80">
        <v>13</v>
      </c>
      <c r="T16" s="81">
        <f t="shared" si="7"/>
        <v>49176.487015059625</v>
      </c>
      <c r="U16" s="76">
        <f t="shared" si="8"/>
        <v>639294.33119577519</v>
      </c>
      <c r="V16" s="76">
        <f t="shared" si="9"/>
        <v>1032706.2273162522</v>
      </c>
      <c r="W16" s="83"/>
      <c r="X16" s="83"/>
      <c r="Y16" s="83"/>
      <c r="Z16" s="83"/>
    </row>
    <row r="17" spans="1:26" ht="14.25" customHeight="1">
      <c r="A17" s="99" t="s">
        <v>112</v>
      </c>
      <c r="B17" s="99"/>
      <c r="C17" s="129">
        <f t="shared" ref="C17:D17" si="13">SUM(C4:C16)</f>
        <v>91.23</v>
      </c>
      <c r="D17" s="107">
        <f t="shared" si="13"/>
        <v>18285622</v>
      </c>
      <c r="E17" s="134"/>
      <c r="F17" s="103">
        <f>SUM(F4:F16)</f>
        <v>9.3249999999999993</v>
      </c>
      <c r="G17" s="104"/>
      <c r="H17" s="106"/>
      <c r="I17" s="106">
        <f t="shared" ref="I17:J17" si="14">SUM(I4:I16)</f>
        <v>7241487.7299654614</v>
      </c>
      <c r="J17" s="107">
        <f t="shared" si="14"/>
        <v>7241487.7299654614</v>
      </c>
      <c r="K17" s="134"/>
      <c r="L17" s="103">
        <f>SUM(L4:L16)</f>
        <v>1.3550000000000002</v>
      </c>
      <c r="M17" s="104"/>
      <c r="N17" s="106"/>
      <c r="O17" s="106">
        <f t="shared" ref="O17:P17" si="15">SUM(O4:O16)</f>
        <v>438429.58344724559</v>
      </c>
      <c r="P17" s="107">
        <f t="shared" si="15"/>
        <v>1753718.3337889824</v>
      </c>
      <c r="Q17" s="135"/>
      <c r="R17" s="103">
        <f>SUM(R4:R16)</f>
        <v>1.5830769230769233</v>
      </c>
      <c r="S17" s="104"/>
      <c r="T17" s="106"/>
      <c r="U17" s="106">
        <f t="shared" ref="U17:V17" si="16">SUM(U4:U16)</f>
        <v>3977272.8091247641</v>
      </c>
      <c r="V17" s="106">
        <f t="shared" si="16"/>
        <v>6424825.3070476949</v>
      </c>
      <c r="W17" s="83"/>
      <c r="X17" s="83"/>
      <c r="Y17" s="83"/>
      <c r="Z17" s="83"/>
    </row>
    <row r="18" spans="1:26" ht="14.25" customHeight="1">
      <c r="A18" s="111" t="s">
        <v>139</v>
      </c>
    </row>
    <row r="19" spans="1:26" ht="14.25" customHeight="1">
      <c r="A19" s="112" t="s">
        <v>140</v>
      </c>
    </row>
    <row r="20" spans="1:26" ht="14.25" customHeight="1"/>
    <row r="21" spans="1:26" ht="14.25" customHeight="1">
      <c r="B21" s="113" t="s">
        <v>115</v>
      </c>
      <c r="C21" s="113" t="s">
        <v>116</v>
      </c>
    </row>
    <row r="22" spans="1:26" ht="14.25" customHeight="1">
      <c r="B22" s="113" t="s">
        <v>117</v>
      </c>
      <c r="C22" s="113" t="s">
        <v>118</v>
      </c>
    </row>
    <row r="23" spans="1:26" ht="14.25" customHeight="1">
      <c r="B23" s="113" t="s">
        <v>119</v>
      </c>
      <c r="C23" s="113" t="s">
        <v>120</v>
      </c>
    </row>
    <row r="24" spans="1:26" ht="14.25" customHeight="1">
      <c r="B24" s="113" t="s">
        <v>121</v>
      </c>
      <c r="C24" s="113" t="s">
        <v>122</v>
      </c>
    </row>
    <row r="25" spans="1:26" ht="14.25" customHeight="1">
      <c r="B25" s="113" t="s">
        <v>123</v>
      </c>
      <c r="C25" s="113" t="s">
        <v>124</v>
      </c>
    </row>
    <row r="26" spans="1:26" ht="14.25" customHeight="1">
      <c r="B26" s="113" t="s">
        <v>125</v>
      </c>
      <c r="C26" s="113" t="s">
        <v>126</v>
      </c>
    </row>
    <row r="27" spans="1:26" ht="14.25" customHeight="1"/>
    <row r="28" spans="1:26" ht="14.25" customHeight="1"/>
    <row r="29" spans="1:26" ht="14.25" customHeight="1"/>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2:B2"/>
    <mergeCell ref="F2:J2"/>
    <mergeCell ref="L2:P2"/>
    <mergeCell ref="R2:V2"/>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4.453125" defaultRowHeight="15" customHeight="1"/>
  <cols>
    <col min="1" max="1" width="20.7265625" customWidth="1"/>
    <col min="2" max="3" width="8.7265625" customWidth="1"/>
    <col min="4" max="4" width="11.7265625" customWidth="1"/>
    <col min="5" max="5" width="0.26953125" customWidth="1"/>
    <col min="6" max="7" width="8.7265625" customWidth="1"/>
    <col min="8" max="8" width="11.7265625" customWidth="1"/>
    <col min="9" max="9" width="11.26953125" customWidth="1"/>
    <col min="10" max="10" width="11.7265625" customWidth="1"/>
    <col min="11" max="11" width="0.26953125" customWidth="1"/>
    <col min="12" max="14" width="8.7265625" customWidth="1"/>
    <col min="15" max="15" width="11.26953125" customWidth="1"/>
    <col min="16" max="16" width="11" customWidth="1"/>
    <col min="17" max="17" width="0.26953125" customWidth="1"/>
    <col min="18" max="20" width="8.7265625" customWidth="1"/>
    <col min="21" max="21" width="10.453125" customWidth="1"/>
    <col min="22" max="22" width="11.453125" customWidth="1"/>
    <col min="23" max="26" width="8.7265625" customWidth="1"/>
  </cols>
  <sheetData>
    <row r="1" spans="1:26" ht="14.25" customHeight="1">
      <c r="A1" s="15" t="s">
        <v>141</v>
      </c>
    </row>
    <row r="2" spans="1:26" ht="14.25" customHeight="1">
      <c r="A2" s="318" t="s">
        <v>142</v>
      </c>
      <c r="B2" s="311"/>
      <c r="C2" s="115"/>
      <c r="D2" s="116"/>
      <c r="E2" s="65"/>
      <c r="F2" s="319" t="s">
        <v>78</v>
      </c>
      <c r="G2" s="313"/>
      <c r="H2" s="313"/>
      <c r="I2" s="313"/>
      <c r="J2" s="311"/>
      <c r="K2" s="117"/>
      <c r="L2" s="319" t="s">
        <v>79</v>
      </c>
      <c r="M2" s="313"/>
      <c r="N2" s="313"/>
      <c r="O2" s="313"/>
      <c r="P2" s="311"/>
      <c r="Q2" s="118"/>
      <c r="R2" s="320" t="s">
        <v>80</v>
      </c>
      <c r="S2" s="316"/>
      <c r="T2" s="316"/>
      <c r="U2" s="316"/>
      <c r="V2" s="317"/>
    </row>
    <row r="3" spans="1:26" ht="14.25" customHeight="1">
      <c r="A3" s="62" t="s">
        <v>81</v>
      </c>
      <c r="B3" s="63" t="s">
        <v>82</v>
      </c>
      <c r="C3" s="63" t="s">
        <v>83</v>
      </c>
      <c r="D3" s="64" t="s">
        <v>135</v>
      </c>
      <c r="E3" s="65"/>
      <c r="F3" s="66" t="s">
        <v>85</v>
      </c>
      <c r="G3" s="63" t="s">
        <v>129</v>
      </c>
      <c r="H3" s="63" t="s">
        <v>87</v>
      </c>
      <c r="I3" s="63" t="s">
        <v>88</v>
      </c>
      <c r="J3" s="64" t="s">
        <v>136</v>
      </c>
      <c r="K3" s="65"/>
      <c r="L3" s="66" t="s">
        <v>85</v>
      </c>
      <c r="M3" s="63" t="s">
        <v>130</v>
      </c>
      <c r="N3" s="63" t="s">
        <v>91</v>
      </c>
      <c r="O3" s="63" t="s">
        <v>92</v>
      </c>
      <c r="P3" s="64" t="s">
        <v>143</v>
      </c>
      <c r="Q3" s="67"/>
      <c r="R3" s="66" t="s">
        <v>85</v>
      </c>
      <c r="S3" s="63" t="s">
        <v>131</v>
      </c>
      <c r="T3" s="63" t="s">
        <v>95</v>
      </c>
      <c r="U3" s="63" t="s">
        <v>96</v>
      </c>
      <c r="V3" s="63" t="s">
        <v>144</v>
      </c>
    </row>
    <row r="4" spans="1:26" ht="14.25" customHeight="1">
      <c r="A4" s="119" t="s">
        <v>98</v>
      </c>
      <c r="B4" s="76">
        <f t="shared" ref="B4:B6" si="0">D4/C4</f>
        <v>163016.23931623931</v>
      </c>
      <c r="C4" s="70">
        <v>2.34</v>
      </c>
      <c r="D4" s="132">
        <v>381458</v>
      </c>
      <c r="E4" s="72"/>
      <c r="F4" s="73">
        <f>((0.5)*1+(1.5)*1+(2)*1+(3)*1)/G4</f>
        <v>1.75</v>
      </c>
      <c r="G4" s="74">
        <v>4</v>
      </c>
      <c r="H4" s="75">
        <f t="shared" ref="H4:H16" si="1">B4*F4</f>
        <v>285278.41880341881</v>
      </c>
      <c r="I4" s="76">
        <f t="shared" ref="I4:I16" si="2">H4*G4</f>
        <v>1141113.6752136752</v>
      </c>
      <c r="J4" s="77">
        <f t="shared" ref="J4:J16" si="3">H4*4</f>
        <v>1141113.6752136752</v>
      </c>
      <c r="K4" s="78"/>
      <c r="L4" s="79">
        <f>((0)*4+(0.5)*1+(0.4)*1+(0.1)*1+(2)*1)/M4</f>
        <v>0.375</v>
      </c>
      <c r="M4" s="80">
        <v>8</v>
      </c>
      <c r="N4" s="81">
        <f t="shared" ref="N4:N16" si="4">B4*L4</f>
        <v>61131.089743589742</v>
      </c>
      <c r="O4" s="76">
        <f t="shared" ref="O4:O16" si="5">N4*M4</f>
        <v>489048.71794871794</v>
      </c>
      <c r="P4" s="136">
        <f t="shared" ref="P4:P16" si="6">N4*9</f>
        <v>550179.80769230763</v>
      </c>
      <c r="Q4" s="82"/>
      <c r="R4" s="79">
        <f>((0)*8+(0.05)+(0.5)+(1)*2+(0.05))/S4</f>
        <v>0.19999999999999998</v>
      </c>
      <c r="S4" s="80">
        <v>13</v>
      </c>
      <c r="T4" s="81">
        <f t="shared" ref="T4:T16" si="7">B4*R4</f>
        <v>32603.24786324786</v>
      </c>
      <c r="U4" s="76">
        <f t="shared" ref="U4:U16" si="8">T4*S4</f>
        <v>423842.22222222219</v>
      </c>
      <c r="V4" s="76">
        <f t="shared" ref="V4:V16" si="9">T4*23</f>
        <v>749874.70085470076</v>
      </c>
      <c r="W4" s="83"/>
      <c r="X4" s="83"/>
      <c r="Y4" s="83"/>
      <c r="Z4" s="83"/>
    </row>
    <row r="5" spans="1:26" ht="14.25" customHeight="1">
      <c r="A5" s="122" t="s">
        <v>99</v>
      </c>
      <c r="B5" s="76">
        <f t="shared" si="0"/>
        <v>186325.23719165087</v>
      </c>
      <c r="C5" s="85">
        <v>5.27</v>
      </c>
      <c r="D5" s="132">
        <v>981934</v>
      </c>
      <c r="E5" s="124"/>
      <c r="F5" s="73">
        <f>((0)*1+(0.2)*1+(0.25)*1+(4)*1)/G5</f>
        <v>1.1125</v>
      </c>
      <c r="G5" s="74">
        <v>4</v>
      </c>
      <c r="H5" s="75">
        <f t="shared" si="1"/>
        <v>207286.82637571159</v>
      </c>
      <c r="I5" s="76">
        <f t="shared" si="2"/>
        <v>829147.30550284637</v>
      </c>
      <c r="J5" s="77">
        <f t="shared" si="3"/>
        <v>829147.30550284637</v>
      </c>
      <c r="K5" s="78"/>
      <c r="L5" s="79">
        <f>((0)*3+(0.01)+(0.15)+(0.2)+(0.25)+(0.4))/M5</f>
        <v>0.12625</v>
      </c>
      <c r="M5" s="80">
        <v>8</v>
      </c>
      <c r="N5" s="81">
        <f t="shared" si="4"/>
        <v>23523.561195445924</v>
      </c>
      <c r="O5" s="76">
        <f t="shared" si="5"/>
        <v>188188.48956356739</v>
      </c>
      <c r="P5" s="136">
        <f t="shared" si="6"/>
        <v>211712.05075901331</v>
      </c>
      <c r="Q5" s="82"/>
      <c r="R5" s="79">
        <f>((0)*10+(0.5)*1+(1)*1+(0.01))/S5</f>
        <v>0.11615384615384615</v>
      </c>
      <c r="S5" s="80">
        <v>13</v>
      </c>
      <c r="T5" s="81">
        <f t="shared" si="7"/>
        <v>21642.392935337906</v>
      </c>
      <c r="U5" s="76">
        <f t="shared" si="8"/>
        <v>281351.10815939278</v>
      </c>
      <c r="V5" s="76">
        <f t="shared" si="9"/>
        <v>497775.03751277184</v>
      </c>
      <c r="W5" s="83"/>
      <c r="X5" s="83"/>
      <c r="Y5" s="83"/>
      <c r="Z5" s="83"/>
    </row>
    <row r="6" spans="1:26" ht="14.25" customHeight="1">
      <c r="A6" s="119" t="s">
        <v>100</v>
      </c>
      <c r="B6" s="76">
        <f t="shared" si="0"/>
        <v>202877.74851876235</v>
      </c>
      <c r="C6" s="70">
        <v>15.19</v>
      </c>
      <c r="D6" s="77">
        <v>3081713</v>
      </c>
      <c r="E6" s="72"/>
      <c r="F6" s="73">
        <f>((0)*3+(1)*1)/G6</f>
        <v>0.25</v>
      </c>
      <c r="G6" s="74">
        <v>4</v>
      </c>
      <c r="H6" s="75">
        <f t="shared" si="1"/>
        <v>50719.437129690588</v>
      </c>
      <c r="I6" s="76">
        <f t="shared" si="2"/>
        <v>202877.74851876235</v>
      </c>
      <c r="J6" s="77">
        <f t="shared" si="3"/>
        <v>202877.74851876235</v>
      </c>
      <c r="K6" s="78"/>
      <c r="L6" s="79">
        <f>((0)*5+(0.01)+(1)*2)/M6</f>
        <v>0.25124999999999997</v>
      </c>
      <c r="M6" s="80">
        <v>8</v>
      </c>
      <c r="N6" s="81">
        <f t="shared" si="4"/>
        <v>50973.034315339035</v>
      </c>
      <c r="O6" s="76">
        <f t="shared" si="5"/>
        <v>407784.27452271228</v>
      </c>
      <c r="P6" s="136">
        <f t="shared" si="6"/>
        <v>458757.30883805134</v>
      </c>
      <c r="Q6" s="82"/>
      <c r="R6" s="79">
        <f>((0)*10+(0.1)+(0.5)+(0.03))/S6</f>
        <v>4.8461538461538459E-2</v>
      </c>
      <c r="S6" s="80">
        <v>13</v>
      </c>
      <c r="T6" s="81">
        <f t="shared" si="7"/>
        <v>9831.7678128323296</v>
      </c>
      <c r="U6" s="76">
        <f t="shared" si="8"/>
        <v>127812.98156682028</v>
      </c>
      <c r="V6" s="76">
        <f t="shared" si="9"/>
        <v>226130.65969514358</v>
      </c>
      <c r="W6" s="83"/>
      <c r="X6" s="83"/>
      <c r="Y6" s="83"/>
      <c r="Z6" s="83"/>
    </row>
    <row r="7" spans="1:26" ht="14.25" customHeight="1">
      <c r="A7" s="119" t="s">
        <v>101</v>
      </c>
      <c r="B7" s="76">
        <f>D6/C6</f>
        <v>202877.74851876235</v>
      </c>
      <c r="C7" s="70" t="s">
        <v>102</v>
      </c>
      <c r="D7" s="77" t="s">
        <v>102</v>
      </c>
      <c r="E7" s="72"/>
      <c r="F7" s="73">
        <f>((0.1)*3+(1)*1)/G7</f>
        <v>0.32500000000000001</v>
      </c>
      <c r="G7" s="74">
        <v>4</v>
      </c>
      <c r="H7" s="75">
        <f t="shared" si="1"/>
        <v>65935.268268597763</v>
      </c>
      <c r="I7" s="76">
        <f t="shared" si="2"/>
        <v>263741.07307439105</v>
      </c>
      <c r="J7" s="77">
        <f t="shared" si="3"/>
        <v>263741.07307439105</v>
      </c>
      <c r="K7" s="78"/>
      <c r="L7" s="79">
        <f>((0)*4+(0.01)+(0.05)+(0.5)+1)/M7</f>
        <v>0.19500000000000001</v>
      </c>
      <c r="M7" s="80">
        <v>8</v>
      </c>
      <c r="N7" s="81">
        <f t="shared" si="4"/>
        <v>39561.160961158661</v>
      </c>
      <c r="O7" s="76">
        <f t="shared" si="5"/>
        <v>316489.28768926929</v>
      </c>
      <c r="P7" s="136">
        <f t="shared" si="6"/>
        <v>356050.44865042798</v>
      </c>
      <c r="Q7" s="82"/>
      <c r="R7" s="79">
        <f>((0)*10+(0.1)+(0.5)+(0.02))/S7</f>
        <v>4.7692307692307694E-2</v>
      </c>
      <c r="S7" s="80">
        <v>13</v>
      </c>
      <c r="T7" s="81">
        <f t="shared" si="7"/>
        <v>9675.7080062794357</v>
      </c>
      <c r="U7" s="76">
        <f t="shared" si="8"/>
        <v>125784.20408163266</v>
      </c>
      <c r="V7" s="76">
        <f t="shared" si="9"/>
        <v>222541.28414442702</v>
      </c>
      <c r="W7" s="83"/>
      <c r="X7" s="83"/>
      <c r="Y7" s="83"/>
      <c r="Z7" s="83"/>
    </row>
    <row r="8" spans="1:26" ht="14.25" customHeight="1">
      <c r="A8" s="119" t="s">
        <v>103</v>
      </c>
      <c r="B8" s="76">
        <f t="shared" ref="B8:B13" si="10">D8/C8</f>
        <v>119498.74213836477</v>
      </c>
      <c r="C8" s="70">
        <v>3.18</v>
      </c>
      <c r="D8" s="77">
        <v>380006</v>
      </c>
      <c r="E8" s="72"/>
      <c r="F8" s="73">
        <f>((0.1)*3+(0.25)*1)/G8</f>
        <v>0.13750000000000001</v>
      </c>
      <c r="G8" s="74">
        <v>4</v>
      </c>
      <c r="H8" s="75">
        <f t="shared" si="1"/>
        <v>16431.077044025158</v>
      </c>
      <c r="I8" s="76">
        <f t="shared" si="2"/>
        <v>65724.308176100632</v>
      </c>
      <c r="J8" s="77">
        <f t="shared" si="3"/>
        <v>65724.308176100632</v>
      </c>
      <c r="K8" s="78"/>
      <c r="L8" s="79">
        <f>((0)*5+(0.01)+(0.25)+(0.5)*1)/M8</f>
        <v>9.5000000000000001E-2</v>
      </c>
      <c r="M8" s="80">
        <v>8</v>
      </c>
      <c r="N8" s="81">
        <f t="shared" si="4"/>
        <v>11352.380503144654</v>
      </c>
      <c r="O8" s="76">
        <f t="shared" si="5"/>
        <v>90819.044025157229</v>
      </c>
      <c r="P8" s="136">
        <f t="shared" si="6"/>
        <v>102171.42452830188</v>
      </c>
      <c r="Q8" s="82"/>
      <c r="R8" s="79">
        <f>((0)*12+(0.05))/S8</f>
        <v>3.8461538461538464E-3</v>
      </c>
      <c r="S8" s="80">
        <v>13</v>
      </c>
      <c r="T8" s="81">
        <f t="shared" si="7"/>
        <v>459.61054668601838</v>
      </c>
      <c r="U8" s="76">
        <f t="shared" si="8"/>
        <v>5974.9371069182389</v>
      </c>
      <c r="V8" s="76">
        <f t="shared" si="9"/>
        <v>10571.042573778423</v>
      </c>
      <c r="W8" s="83"/>
      <c r="X8" s="83"/>
      <c r="Y8" s="83"/>
      <c r="Z8" s="83"/>
    </row>
    <row r="9" spans="1:26" ht="14.25" customHeight="1">
      <c r="A9" s="119" t="s">
        <v>104</v>
      </c>
      <c r="B9" s="76">
        <f t="shared" si="10"/>
        <v>347626.33136094676</v>
      </c>
      <c r="C9" s="70">
        <v>6.76</v>
      </c>
      <c r="D9" s="77">
        <v>2349954</v>
      </c>
      <c r="E9" s="72"/>
      <c r="F9" s="73">
        <f>((0)*1+(0.2)*1+(0.25)*1+(0.5)*1)/G9</f>
        <v>0.23749999999999999</v>
      </c>
      <c r="G9" s="74">
        <v>4</v>
      </c>
      <c r="H9" s="75">
        <f t="shared" si="1"/>
        <v>82561.253698224857</v>
      </c>
      <c r="I9" s="76">
        <f t="shared" si="2"/>
        <v>330245.01479289943</v>
      </c>
      <c r="J9" s="77">
        <f t="shared" si="3"/>
        <v>330245.01479289943</v>
      </c>
      <c r="K9" s="78"/>
      <c r="L9" s="79">
        <f>((0)*4+(0.01)+(0.1)+(0.4)+(0.5)*1)/M9</f>
        <v>0.12625</v>
      </c>
      <c r="M9" s="80">
        <v>8</v>
      </c>
      <c r="N9" s="81">
        <f t="shared" si="4"/>
        <v>43887.824334319528</v>
      </c>
      <c r="O9" s="76">
        <f t="shared" si="5"/>
        <v>351102.59467455623</v>
      </c>
      <c r="P9" s="136">
        <f t="shared" si="6"/>
        <v>394990.41900887573</v>
      </c>
      <c r="Q9" s="82"/>
      <c r="R9" s="79">
        <f>((0)*5+(0.05)*2+(0.083)+(0.2)*2+(0.25)+(1)+(0.5))/S9</f>
        <v>0.17946153846153848</v>
      </c>
      <c r="S9" s="80">
        <v>13</v>
      </c>
      <c r="T9" s="81">
        <f t="shared" si="7"/>
        <v>62385.556235776065</v>
      </c>
      <c r="U9" s="76">
        <f t="shared" si="8"/>
        <v>811012.23106508888</v>
      </c>
      <c r="V9" s="76">
        <f t="shared" si="9"/>
        <v>1434867.7934228494</v>
      </c>
      <c r="W9" s="83"/>
      <c r="X9" s="83"/>
      <c r="Y9" s="83"/>
      <c r="Z9" s="83"/>
    </row>
    <row r="10" spans="1:26" ht="14.25" customHeight="1">
      <c r="A10" s="122" t="s">
        <v>105</v>
      </c>
      <c r="B10" s="76">
        <f t="shared" si="10"/>
        <v>220702.9173419773</v>
      </c>
      <c r="C10" s="85">
        <v>6.17</v>
      </c>
      <c r="D10" s="132">
        <v>1361737</v>
      </c>
      <c r="E10" s="124"/>
      <c r="F10" s="73">
        <f>((0)*1+(-0.25)*1+(0.25)*1+(0.5)*1)/G10</f>
        <v>0.125</v>
      </c>
      <c r="G10" s="74">
        <v>4</v>
      </c>
      <c r="H10" s="75">
        <f t="shared" si="1"/>
        <v>27587.864667747162</v>
      </c>
      <c r="I10" s="76">
        <f t="shared" si="2"/>
        <v>110351.45867098865</v>
      </c>
      <c r="J10" s="77">
        <f t="shared" si="3"/>
        <v>110351.45867098865</v>
      </c>
      <c r="K10" s="78"/>
      <c r="L10" s="79">
        <f>((0)*6+(0.01)+(0.5))/M10</f>
        <v>6.3750000000000001E-2</v>
      </c>
      <c r="M10" s="80">
        <v>8</v>
      </c>
      <c r="N10" s="81">
        <f t="shared" si="4"/>
        <v>14069.810980551054</v>
      </c>
      <c r="O10" s="76">
        <f t="shared" si="5"/>
        <v>112558.48784440843</v>
      </c>
      <c r="P10" s="136">
        <f t="shared" si="6"/>
        <v>126628.29882495949</v>
      </c>
      <c r="Q10" s="82"/>
      <c r="R10" s="79">
        <f>((0)*13)/S10</f>
        <v>0</v>
      </c>
      <c r="S10" s="80">
        <v>13</v>
      </c>
      <c r="T10" s="81">
        <f t="shared" si="7"/>
        <v>0</v>
      </c>
      <c r="U10" s="76">
        <f t="shared" si="8"/>
        <v>0</v>
      </c>
      <c r="V10" s="76">
        <f t="shared" si="9"/>
        <v>0</v>
      </c>
      <c r="W10" s="83"/>
      <c r="X10" s="83"/>
      <c r="Y10" s="83"/>
      <c r="Z10" s="83"/>
    </row>
    <row r="11" spans="1:26" ht="14.25" customHeight="1">
      <c r="A11" s="122" t="s">
        <v>106</v>
      </c>
      <c r="B11" s="76">
        <f t="shared" si="10"/>
        <v>115749.10714285713</v>
      </c>
      <c r="C11" s="85">
        <v>4.4800000000000004</v>
      </c>
      <c r="D11" s="132">
        <v>518556</v>
      </c>
      <c r="E11" s="124"/>
      <c r="F11" s="73">
        <f>((0.1)*1+(0.2)*1+(0.5)*2)/G11</f>
        <v>0.32500000000000001</v>
      </c>
      <c r="G11" s="74">
        <v>4</v>
      </c>
      <c r="H11" s="75">
        <f t="shared" si="1"/>
        <v>37618.459821428565</v>
      </c>
      <c r="I11" s="76">
        <f t="shared" si="2"/>
        <v>150473.83928571426</v>
      </c>
      <c r="J11" s="77">
        <f t="shared" si="3"/>
        <v>150473.83928571426</v>
      </c>
      <c r="K11" s="78"/>
      <c r="L11" s="79">
        <f>((0)*2+(0.01)+(0.2)+(0.4)+(0.5)*3)/M11</f>
        <v>0.26375000000000004</v>
      </c>
      <c r="M11" s="80">
        <v>8</v>
      </c>
      <c r="N11" s="81">
        <f t="shared" si="4"/>
        <v>30528.827008928572</v>
      </c>
      <c r="O11" s="76">
        <f t="shared" si="5"/>
        <v>244230.61607142858</v>
      </c>
      <c r="P11" s="136">
        <f t="shared" si="6"/>
        <v>274759.44308035716</v>
      </c>
      <c r="Q11" s="82"/>
      <c r="R11" s="79">
        <f>((0)*6+(0.05)+(0.1)*2+(0.2)+(0.5)+(0.02)+(0.7))/S11</f>
        <v>0.12846153846153846</v>
      </c>
      <c r="S11" s="80">
        <v>13</v>
      </c>
      <c r="T11" s="81">
        <f t="shared" si="7"/>
        <v>14869.308379120877</v>
      </c>
      <c r="U11" s="76">
        <f t="shared" si="8"/>
        <v>193301.00892857142</v>
      </c>
      <c r="V11" s="76">
        <f t="shared" si="9"/>
        <v>341994.09271978016</v>
      </c>
      <c r="W11" s="83"/>
      <c r="X11" s="83"/>
      <c r="Y11" s="83"/>
      <c r="Z11" s="83"/>
    </row>
    <row r="12" spans="1:26" ht="14.25" customHeight="1">
      <c r="A12" s="119" t="s">
        <v>107</v>
      </c>
      <c r="B12" s="76">
        <f t="shared" si="10"/>
        <v>147819.95221027482</v>
      </c>
      <c r="C12" s="70">
        <v>8.3699999999999992</v>
      </c>
      <c r="D12" s="77">
        <v>1237253</v>
      </c>
      <c r="E12" s="72"/>
      <c r="F12" s="73">
        <f>((0.25)*1+(0.5)*1+(1.5)*2)/G12</f>
        <v>0.9375</v>
      </c>
      <c r="G12" s="74">
        <v>4</v>
      </c>
      <c r="H12" s="75">
        <f t="shared" si="1"/>
        <v>138581.20519713263</v>
      </c>
      <c r="I12" s="76">
        <f t="shared" si="2"/>
        <v>554324.82078853052</v>
      </c>
      <c r="J12" s="77">
        <f t="shared" si="3"/>
        <v>554324.82078853052</v>
      </c>
      <c r="K12" s="78"/>
      <c r="L12" s="79">
        <f>((0)*3+(0.01)*2+(0.05)+(1)*2)/M12</f>
        <v>0.25874999999999998</v>
      </c>
      <c r="M12" s="80">
        <v>8</v>
      </c>
      <c r="N12" s="81">
        <f t="shared" si="4"/>
        <v>38248.412634408603</v>
      </c>
      <c r="O12" s="76">
        <f t="shared" si="5"/>
        <v>305987.30107526883</v>
      </c>
      <c r="P12" s="136">
        <f t="shared" si="6"/>
        <v>344235.71370967745</v>
      </c>
      <c r="Q12" s="82"/>
      <c r="R12" s="79">
        <f>((0)*4+(0.083)+(0.1)*2+(0.2)+(0.5)+(1)*2+(0.7)+(0.08))/S12</f>
        <v>0.28946153846153844</v>
      </c>
      <c r="S12" s="80">
        <v>13</v>
      </c>
      <c r="T12" s="81">
        <f t="shared" si="7"/>
        <v>42788.190782097234</v>
      </c>
      <c r="U12" s="76">
        <f t="shared" si="8"/>
        <v>556246.480167264</v>
      </c>
      <c r="V12" s="76">
        <f t="shared" si="9"/>
        <v>984128.38798823638</v>
      </c>
      <c r="W12" s="83"/>
      <c r="X12" s="83"/>
      <c r="Y12" s="83"/>
      <c r="Z12" s="83"/>
    </row>
    <row r="13" spans="1:26" ht="14.25" customHeight="1">
      <c r="A13" s="119" t="s">
        <v>108</v>
      </c>
      <c r="B13" s="76">
        <f t="shared" si="10"/>
        <v>251096.25935162097</v>
      </c>
      <c r="C13" s="70">
        <v>4.01</v>
      </c>
      <c r="D13" s="77">
        <v>1006896</v>
      </c>
      <c r="E13" s="72"/>
      <c r="F13" s="73">
        <f>((0.1)*1+(2)*1+(0.5)*2)/G13</f>
        <v>0.77500000000000002</v>
      </c>
      <c r="G13" s="74">
        <v>4</v>
      </c>
      <c r="H13" s="75">
        <f t="shared" si="1"/>
        <v>194599.60099750626</v>
      </c>
      <c r="I13" s="76">
        <f t="shared" si="2"/>
        <v>778398.40399002505</v>
      </c>
      <c r="J13" s="77">
        <f t="shared" si="3"/>
        <v>778398.40399002505</v>
      </c>
      <c r="K13" s="78"/>
      <c r="L13" s="79">
        <f>((0)*3+(0.01)*2+(0.25)+(1)+(2))/M13</f>
        <v>0.40875</v>
      </c>
      <c r="M13" s="80">
        <v>8</v>
      </c>
      <c r="N13" s="81">
        <f t="shared" si="4"/>
        <v>102635.59600997508</v>
      </c>
      <c r="O13" s="76">
        <f t="shared" si="5"/>
        <v>821084.76807980065</v>
      </c>
      <c r="P13" s="136">
        <f t="shared" si="6"/>
        <v>923720.36408977571</v>
      </c>
      <c r="Q13" s="82"/>
      <c r="R13" s="79">
        <f>((0)*7+(0.05)+(0.1)+(0.15)+(1)*2+(0.05))/S13</f>
        <v>0.18076923076923074</v>
      </c>
      <c r="S13" s="80">
        <v>13</v>
      </c>
      <c r="T13" s="81">
        <f t="shared" si="7"/>
        <v>45390.477652023787</v>
      </c>
      <c r="U13" s="76">
        <f t="shared" si="8"/>
        <v>590076.20947630925</v>
      </c>
      <c r="V13" s="76">
        <f t="shared" si="9"/>
        <v>1043980.985996547</v>
      </c>
      <c r="W13" s="83"/>
      <c r="X13" s="83"/>
      <c r="Y13" s="83"/>
      <c r="Z13" s="83"/>
    </row>
    <row r="14" spans="1:26" ht="14.25" customHeight="1">
      <c r="A14" s="119" t="s">
        <v>109</v>
      </c>
      <c r="B14" s="76">
        <f>D6/C6</f>
        <v>202877.74851876235</v>
      </c>
      <c r="C14" s="70" t="s">
        <v>102</v>
      </c>
      <c r="D14" s="77" t="s">
        <v>102</v>
      </c>
      <c r="E14" s="72"/>
      <c r="F14" s="73">
        <f>((0)*2+(0.2)*1+(1)*1)/G14</f>
        <v>0.3</v>
      </c>
      <c r="G14" s="74">
        <v>4</v>
      </c>
      <c r="H14" s="75">
        <f t="shared" si="1"/>
        <v>60863.3245556287</v>
      </c>
      <c r="I14" s="76">
        <f t="shared" si="2"/>
        <v>243453.2982225148</v>
      </c>
      <c r="J14" s="77">
        <f t="shared" si="3"/>
        <v>243453.2982225148</v>
      </c>
      <c r="K14" s="78"/>
      <c r="L14" s="79">
        <f>((0)*4+(0.5)*2+(0.01)+(0.25))/M14</f>
        <v>0.1575</v>
      </c>
      <c r="M14" s="80">
        <v>8</v>
      </c>
      <c r="N14" s="81">
        <f t="shared" si="4"/>
        <v>31953.24539170507</v>
      </c>
      <c r="O14" s="76">
        <f t="shared" si="5"/>
        <v>255625.96313364056</v>
      </c>
      <c r="P14" s="136">
        <f t="shared" si="6"/>
        <v>287579.2085253456</v>
      </c>
      <c r="Q14" s="82"/>
      <c r="R14" s="79">
        <f>((0)*12+(0.01))/S14</f>
        <v>7.6923076923076923E-4</v>
      </c>
      <c r="S14" s="80">
        <v>13</v>
      </c>
      <c r="T14" s="81">
        <f t="shared" si="7"/>
        <v>156.05980655289412</v>
      </c>
      <c r="U14" s="76">
        <f t="shared" si="8"/>
        <v>2028.7774851876236</v>
      </c>
      <c r="V14" s="76">
        <f t="shared" si="9"/>
        <v>3589.3755507165647</v>
      </c>
      <c r="W14" s="83"/>
      <c r="X14" s="83"/>
      <c r="Y14" s="83"/>
      <c r="Z14" s="83"/>
    </row>
    <row r="15" spans="1:26" ht="14.25" customHeight="1">
      <c r="A15" s="122" t="s">
        <v>110</v>
      </c>
      <c r="B15" s="76">
        <f t="shared" ref="B15:B16" si="11">D15/C15</f>
        <v>201770.42253521126</v>
      </c>
      <c r="C15" s="85">
        <v>9.23</v>
      </c>
      <c r="D15" s="132">
        <v>1862341</v>
      </c>
      <c r="E15" s="124"/>
      <c r="F15" s="73">
        <f>((0)*3+(2)*1)/G15</f>
        <v>0.5</v>
      </c>
      <c r="G15" s="74">
        <v>4</v>
      </c>
      <c r="H15" s="75">
        <f t="shared" si="1"/>
        <v>100885.21126760563</v>
      </c>
      <c r="I15" s="76">
        <f t="shared" si="2"/>
        <v>403540.84507042251</v>
      </c>
      <c r="J15" s="77">
        <f t="shared" si="3"/>
        <v>403540.84507042251</v>
      </c>
      <c r="K15" s="78"/>
      <c r="L15" s="79">
        <f>((0)*5+(0.01)+(0.25)*2)/M15</f>
        <v>6.3750000000000001E-2</v>
      </c>
      <c r="M15" s="80">
        <v>8</v>
      </c>
      <c r="N15" s="81">
        <f t="shared" si="4"/>
        <v>12862.864436619719</v>
      </c>
      <c r="O15" s="76">
        <f t="shared" si="5"/>
        <v>102902.91549295775</v>
      </c>
      <c r="P15" s="136">
        <f t="shared" si="6"/>
        <v>115765.77992957746</v>
      </c>
      <c r="Q15" s="82"/>
      <c r="R15" s="79">
        <f>((0)*10+(0.1)+(0.2)+(0.02))/S15</f>
        <v>2.4615384615384619E-2</v>
      </c>
      <c r="S15" s="80">
        <v>13</v>
      </c>
      <c r="T15" s="81">
        <f t="shared" si="7"/>
        <v>4966.656554712893</v>
      </c>
      <c r="U15" s="76">
        <f t="shared" si="8"/>
        <v>64566.535211267612</v>
      </c>
      <c r="V15" s="76">
        <f t="shared" si="9"/>
        <v>114233.10075839654</v>
      </c>
      <c r="W15" s="83"/>
      <c r="X15" s="83"/>
      <c r="Y15" s="83"/>
      <c r="Z15" s="83"/>
    </row>
    <row r="16" spans="1:26" ht="14.25" customHeight="1">
      <c r="A16" s="125" t="s">
        <v>111</v>
      </c>
      <c r="B16" s="95">
        <f t="shared" si="11"/>
        <v>244494.40802159661</v>
      </c>
      <c r="C16" s="90">
        <v>25.93</v>
      </c>
      <c r="D16" s="133">
        <v>6339740</v>
      </c>
      <c r="E16" s="124"/>
      <c r="F16" s="92">
        <f>((1)*1+(5)*2+(10)*1)/G16</f>
        <v>5.25</v>
      </c>
      <c r="G16" s="93">
        <v>4</v>
      </c>
      <c r="H16" s="94">
        <f t="shared" si="1"/>
        <v>1283595.6421133822</v>
      </c>
      <c r="I16" s="95">
        <f t="shared" si="2"/>
        <v>5134382.5684535289</v>
      </c>
      <c r="J16" s="96">
        <f t="shared" si="3"/>
        <v>5134382.5684535289</v>
      </c>
      <c r="K16" s="78"/>
      <c r="L16" s="97">
        <f>((0)*3+(0.01)+(0.1)+(0.2)+(1)+(2))/M16</f>
        <v>0.41375000000000001</v>
      </c>
      <c r="M16" s="128">
        <v>8</v>
      </c>
      <c r="N16" s="98">
        <f t="shared" si="4"/>
        <v>101159.56131893559</v>
      </c>
      <c r="O16" s="95">
        <f t="shared" si="5"/>
        <v>809276.49055148475</v>
      </c>
      <c r="P16" s="137">
        <f t="shared" si="6"/>
        <v>910436.05187042034</v>
      </c>
      <c r="Q16" s="82"/>
      <c r="R16" s="79">
        <f>((0)*8+(0.2)*2+(0.25)*1+(0.5)*1+(0.02))/S16</f>
        <v>0.09</v>
      </c>
      <c r="S16" s="80">
        <v>13</v>
      </c>
      <c r="T16" s="81">
        <f t="shared" si="7"/>
        <v>22004.496721943695</v>
      </c>
      <c r="U16" s="76">
        <f t="shared" si="8"/>
        <v>286058.45738526806</v>
      </c>
      <c r="V16" s="76">
        <f t="shared" si="9"/>
        <v>506103.42460470495</v>
      </c>
      <c r="W16" s="83"/>
      <c r="X16" s="83"/>
      <c r="Y16" s="83"/>
      <c r="Z16" s="83"/>
    </row>
    <row r="17" spans="1:26" ht="14.25" customHeight="1">
      <c r="A17" s="99" t="s">
        <v>112</v>
      </c>
      <c r="B17" s="99"/>
      <c r="C17" s="129">
        <f t="shared" ref="C17:D17" si="12">SUM(C4:C16)</f>
        <v>90.93</v>
      </c>
      <c r="D17" s="107">
        <f t="shared" si="12"/>
        <v>19501588</v>
      </c>
      <c r="E17" s="134"/>
      <c r="F17" s="103">
        <f>SUM(F4:F16)</f>
        <v>12.025</v>
      </c>
      <c r="G17" s="104"/>
      <c r="H17" s="106"/>
      <c r="I17" s="106">
        <f t="shared" ref="I17:J17" si="13">SUM(I4:I16)</f>
        <v>10207774.3597604</v>
      </c>
      <c r="J17" s="107">
        <f t="shared" si="13"/>
        <v>10207774.3597604</v>
      </c>
      <c r="K17" s="134"/>
      <c r="L17" s="103">
        <f>SUM(L4:L16)</f>
        <v>2.7987500000000001</v>
      </c>
      <c r="M17" s="104"/>
      <c r="N17" s="106"/>
      <c r="O17" s="106">
        <f t="shared" ref="O17:P17" si="14">SUM(O4:O16)</f>
        <v>4495098.9506729702</v>
      </c>
      <c r="P17" s="107">
        <f t="shared" si="14"/>
        <v>5056986.3195070913</v>
      </c>
      <c r="Q17" s="134"/>
      <c r="R17" s="103">
        <f>SUM(R4:R16)</f>
        <v>1.3096923076923079</v>
      </c>
      <c r="S17" s="104"/>
      <c r="T17" s="106"/>
      <c r="U17" s="106">
        <f t="shared" ref="U17:V17" si="15">SUM(U4:U16)</f>
        <v>3468055.152855943</v>
      </c>
      <c r="V17" s="106">
        <f t="shared" si="15"/>
        <v>6135789.8858220521</v>
      </c>
      <c r="W17" s="83"/>
      <c r="X17" s="83"/>
      <c r="Y17" s="83"/>
      <c r="Z17" s="83"/>
    </row>
    <row r="18" spans="1:26" ht="14.25" customHeight="1">
      <c r="A18" s="131" t="s">
        <v>139</v>
      </c>
    </row>
    <row r="19" spans="1:26" ht="14.25" customHeight="1">
      <c r="A19" s="112" t="s">
        <v>140</v>
      </c>
    </row>
    <row r="20" spans="1:26" ht="14.25" customHeight="1"/>
    <row r="21" spans="1:26" ht="14.25" customHeight="1">
      <c r="B21" s="113" t="s">
        <v>115</v>
      </c>
      <c r="C21" s="113" t="s">
        <v>116</v>
      </c>
    </row>
    <row r="22" spans="1:26" ht="14.25" customHeight="1">
      <c r="B22" s="113" t="s">
        <v>117</v>
      </c>
      <c r="C22" s="113" t="s">
        <v>118</v>
      </c>
    </row>
    <row r="23" spans="1:26" ht="14.25" customHeight="1">
      <c r="B23" s="113" t="s">
        <v>119</v>
      </c>
      <c r="C23" s="113" t="s">
        <v>120</v>
      </c>
    </row>
    <row r="24" spans="1:26" ht="14.25" customHeight="1">
      <c r="B24" s="113" t="s">
        <v>121</v>
      </c>
      <c r="C24" s="113" t="s">
        <v>122</v>
      </c>
    </row>
    <row r="25" spans="1:26" ht="14.25" customHeight="1">
      <c r="B25" s="113" t="s">
        <v>123</v>
      </c>
      <c r="C25" s="113" t="s">
        <v>124</v>
      </c>
    </row>
    <row r="26" spans="1:26" ht="14.25" customHeight="1">
      <c r="B26" s="113" t="s">
        <v>125</v>
      </c>
      <c r="C26" s="113" t="s">
        <v>126</v>
      </c>
    </row>
    <row r="27" spans="1:26" ht="14.25" customHeight="1"/>
    <row r="28" spans="1:26" ht="14.25" customHeight="1"/>
    <row r="29" spans="1:26" ht="14.25" customHeight="1"/>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2:B2"/>
    <mergeCell ref="F2:J2"/>
    <mergeCell ref="L2:P2"/>
    <mergeCell ref="R2:V2"/>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4.453125" defaultRowHeight="15" customHeight="1"/>
  <cols>
    <col min="1" max="1" width="24.7265625" customWidth="1"/>
    <col min="2" max="2" width="8.7265625" customWidth="1"/>
    <col min="3" max="3" width="8" customWidth="1"/>
    <col min="4" max="4" width="11.453125" customWidth="1"/>
    <col min="5" max="5" width="0.453125" customWidth="1"/>
    <col min="6" max="6" width="6.7265625" customWidth="1"/>
    <col min="7" max="7" width="8.453125" customWidth="1"/>
    <col min="8" max="8" width="10.26953125" customWidth="1"/>
    <col min="9" max="9" width="11.453125" customWidth="1"/>
    <col min="10" max="10" width="11.26953125" customWidth="1"/>
    <col min="11" max="11" width="0.453125" customWidth="1"/>
    <col min="12" max="14" width="8.7265625" customWidth="1"/>
    <col min="15" max="15" width="10" customWidth="1"/>
    <col min="16" max="16" width="10.453125" customWidth="1"/>
    <col min="17" max="17" width="0.453125" customWidth="1"/>
    <col min="18" max="20" width="8.7265625" customWidth="1"/>
    <col min="21" max="21" width="10.7265625" customWidth="1"/>
    <col min="22" max="22" width="10.26953125" customWidth="1"/>
    <col min="23" max="26" width="8.7265625" customWidth="1"/>
  </cols>
  <sheetData>
    <row r="1" spans="1:26" ht="14.25" customHeight="1">
      <c r="A1" s="15" t="s">
        <v>145</v>
      </c>
    </row>
    <row r="2" spans="1:26" ht="14.25" customHeight="1">
      <c r="A2" s="318" t="s">
        <v>146</v>
      </c>
      <c r="B2" s="311"/>
      <c r="C2" s="115"/>
      <c r="D2" s="116"/>
      <c r="E2" s="65"/>
      <c r="F2" s="319" t="s">
        <v>78</v>
      </c>
      <c r="G2" s="313"/>
      <c r="H2" s="313"/>
      <c r="I2" s="313"/>
      <c r="J2" s="311"/>
      <c r="K2" s="117"/>
      <c r="L2" s="319" t="s">
        <v>79</v>
      </c>
      <c r="M2" s="313"/>
      <c r="N2" s="313"/>
      <c r="O2" s="313"/>
      <c r="P2" s="311"/>
      <c r="Q2" s="118"/>
      <c r="R2" s="320" t="s">
        <v>80</v>
      </c>
      <c r="S2" s="316"/>
      <c r="T2" s="316"/>
      <c r="U2" s="316"/>
      <c r="V2" s="317"/>
    </row>
    <row r="3" spans="1:26" ht="14.25" customHeight="1">
      <c r="A3" s="62" t="s">
        <v>81</v>
      </c>
      <c r="B3" s="63" t="s">
        <v>82</v>
      </c>
      <c r="C3" s="63" t="s">
        <v>83</v>
      </c>
      <c r="D3" s="64" t="s">
        <v>135</v>
      </c>
      <c r="E3" s="65"/>
      <c r="F3" s="66" t="s">
        <v>85</v>
      </c>
      <c r="G3" s="63" t="s">
        <v>129</v>
      </c>
      <c r="H3" s="63" t="s">
        <v>87</v>
      </c>
      <c r="I3" s="63" t="s">
        <v>147</v>
      </c>
      <c r="J3" s="64" t="s">
        <v>136</v>
      </c>
      <c r="K3" s="65"/>
      <c r="L3" s="66" t="s">
        <v>85</v>
      </c>
      <c r="M3" s="63" t="s">
        <v>130</v>
      </c>
      <c r="N3" s="63" t="s">
        <v>91</v>
      </c>
      <c r="O3" s="63" t="s">
        <v>92</v>
      </c>
      <c r="P3" s="64" t="s">
        <v>137</v>
      </c>
      <c r="Q3" s="67"/>
      <c r="R3" s="66" t="s">
        <v>85</v>
      </c>
      <c r="S3" s="63" t="s">
        <v>131</v>
      </c>
      <c r="T3" s="63" t="s">
        <v>95</v>
      </c>
      <c r="U3" s="63" t="s">
        <v>96</v>
      </c>
      <c r="V3" s="63" t="s">
        <v>148</v>
      </c>
    </row>
    <row r="4" spans="1:26" ht="14.25" customHeight="1">
      <c r="A4" s="119" t="s">
        <v>98</v>
      </c>
      <c r="B4" s="76">
        <f t="shared" ref="B4:B6" si="0">D4/C4</f>
        <v>163110.63829787233</v>
      </c>
      <c r="C4" s="70">
        <v>2.35</v>
      </c>
      <c r="D4" s="132">
        <v>383310</v>
      </c>
      <c r="E4" s="72"/>
      <c r="F4" s="73">
        <f>((1.5)*1+(2)*1+(3)*2)/G4</f>
        <v>2.375</v>
      </c>
      <c r="G4" s="74">
        <v>4</v>
      </c>
      <c r="H4" s="75">
        <f t="shared" ref="H4:H16" si="1">B4*F4</f>
        <v>387387.76595744677</v>
      </c>
      <c r="I4" s="76">
        <f t="shared" ref="I4:I16" si="2">H4*G4</f>
        <v>1549551.0638297871</v>
      </c>
      <c r="J4" s="77">
        <f t="shared" ref="J4:J16" si="3">H4*4</f>
        <v>1549551.0638297871</v>
      </c>
      <c r="K4" s="78"/>
      <c r="L4" s="79">
        <f>((0)*4+(0.2)*1+(1)*1)/M4</f>
        <v>0.19999999999999998</v>
      </c>
      <c r="M4" s="80">
        <v>6</v>
      </c>
      <c r="N4" s="81">
        <f t="shared" ref="N4:N16" si="4">B4*L4</f>
        <v>32622.127659574464</v>
      </c>
      <c r="O4" s="76">
        <f t="shared" ref="O4:O16" si="5">N4*M4</f>
        <v>195732.76595744677</v>
      </c>
      <c r="P4" s="136">
        <f t="shared" ref="P4:P16" si="6">N4*8</f>
        <v>260977.02127659571</v>
      </c>
      <c r="Q4" s="82"/>
      <c r="R4" s="79">
        <f>((0)*12+(0.1)*4+(0.2))/S4</f>
        <v>3.529411764705883E-2</v>
      </c>
      <c r="S4" s="80">
        <v>17</v>
      </c>
      <c r="T4" s="81">
        <f t="shared" ref="T4:T16" si="7">B4*R4</f>
        <v>5756.8460575719655</v>
      </c>
      <c r="U4" s="76">
        <f t="shared" ref="U4:U16" si="8">T4*S4</f>
        <v>97866.382978723414</v>
      </c>
      <c r="V4" s="76">
        <f t="shared" ref="V4:V16" si="9">T4*25</f>
        <v>143921.15143929914</v>
      </c>
      <c r="W4" s="83"/>
      <c r="X4" s="83"/>
      <c r="Y4" s="83"/>
      <c r="Z4" s="83"/>
    </row>
    <row r="5" spans="1:26" ht="14.25" customHeight="1">
      <c r="A5" s="122" t="s">
        <v>99</v>
      </c>
      <c r="B5" s="76">
        <f t="shared" si="0"/>
        <v>201088</v>
      </c>
      <c r="C5" s="85">
        <v>5.5</v>
      </c>
      <c r="D5" s="132">
        <v>1105984</v>
      </c>
      <c r="E5" s="124"/>
      <c r="F5" s="73">
        <f>((0)*1+(0.2)*1+(1)*1+(4)*1)/G5</f>
        <v>1.3</v>
      </c>
      <c r="G5" s="74">
        <v>4</v>
      </c>
      <c r="H5" s="75">
        <f t="shared" si="1"/>
        <v>261414.40000000002</v>
      </c>
      <c r="I5" s="76">
        <f t="shared" si="2"/>
        <v>1045657.6000000001</v>
      </c>
      <c r="J5" s="77">
        <f t="shared" si="3"/>
        <v>1045657.6000000001</v>
      </c>
      <c r="K5" s="78"/>
      <c r="L5" s="79">
        <f>((0)*5+(0.2)*1)/M5</f>
        <v>3.3333333333333333E-2</v>
      </c>
      <c r="M5" s="80">
        <v>6</v>
      </c>
      <c r="N5" s="81">
        <f t="shared" si="4"/>
        <v>6702.9333333333334</v>
      </c>
      <c r="O5" s="76">
        <f t="shared" si="5"/>
        <v>40217.599999999999</v>
      </c>
      <c r="P5" s="136">
        <f t="shared" si="6"/>
        <v>53623.466666666667</v>
      </c>
      <c r="Q5" s="82"/>
      <c r="R5" s="79">
        <f>((0)*11+(0.5)*1+(0.1)*4+(0.2))/S5</f>
        <v>6.4705882352941183E-2</v>
      </c>
      <c r="S5" s="80">
        <v>17</v>
      </c>
      <c r="T5" s="81">
        <f t="shared" si="7"/>
        <v>13011.576470588236</v>
      </c>
      <c r="U5" s="76">
        <f t="shared" si="8"/>
        <v>221196.80000000002</v>
      </c>
      <c r="V5" s="76">
        <f t="shared" si="9"/>
        <v>325289.4117647059</v>
      </c>
      <c r="W5" s="83"/>
      <c r="X5" s="83"/>
      <c r="Y5" s="83"/>
      <c r="Z5" s="83"/>
    </row>
    <row r="6" spans="1:26" ht="14.25" customHeight="1">
      <c r="A6" s="119" t="s">
        <v>100</v>
      </c>
      <c r="B6" s="76">
        <f t="shared" si="0"/>
        <v>228115.36871123363</v>
      </c>
      <c r="C6" s="70">
        <v>14.51</v>
      </c>
      <c r="D6" s="77">
        <v>3309954</v>
      </c>
      <c r="E6" s="72"/>
      <c r="F6" s="73">
        <f>((0)*2+(0.5)*1+(1)*1)/G6</f>
        <v>0.375</v>
      </c>
      <c r="G6" s="74">
        <v>4</v>
      </c>
      <c r="H6" s="75">
        <f t="shared" si="1"/>
        <v>85543.263266712616</v>
      </c>
      <c r="I6" s="76">
        <f t="shared" si="2"/>
        <v>342173.05306685047</v>
      </c>
      <c r="J6" s="77">
        <f t="shared" si="3"/>
        <v>342173.05306685047</v>
      </c>
      <c r="K6" s="78"/>
      <c r="L6" s="79">
        <f t="shared" ref="L6:L8" si="10">((0)*6)/M6</f>
        <v>0</v>
      </c>
      <c r="M6" s="80">
        <v>6</v>
      </c>
      <c r="N6" s="81">
        <f t="shared" si="4"/>
        <v>0</v>
      </c>
      <c r="O6" s="76">
        <f t="shared" si="5"/>
        <v>0</v>
      </c>
      <c r="P6" s="136">
        <f t="shared" si="6"/>
        <v>0</v>
      </c>
      <c r="Q6" s="82"/>
      <c r="R6" s="79">
        <f>((0)*16+(0.1))/S6</f>
        <v>5.8823529411764705E-3</v>
      </c>
      <c r="S6" s="80">
        <v>17</v>
      </c>
      <c r="T6" s="81">
        <f t="shared" si="7"/>
        <v>1341.8551100660802</v>
      </c>
      <c r="U6" s="76">
        <f t="shared" si="8"/>
        <v>22811.536871123364</v>
      </c>
      <c r="V6" s="76">
        <f t="shared" si="9"/>
        <v>33546.377751652006</v>
      </c>
      <c r="W6" s="83"/>
      <c r="X6" s="83"/>
      <c r="Y6" s="83"/>
      <c r="Z6" s="83"/>
    </row>
    <row r="7" spans="1:26" ht="14.25" customHeight="1">
      <c r="A7" s="119" t="s">
        <v>101</v>
      </c>
      <c r="B7" s="76">
        <f>D6/C6</f>
        <v>228115.36871123363</v>
      </c>
      <c r="C7" s="70" t="s">
        <v>102</v>
      </c>
      <c r="D7" s="77" t="s">
        <v>102</v>
      </c>
      <c r="E7" s="72"/>
      <c r="F7" s="73">
        <f>((0.1)*2+(0.25)*1+(1)*1)/G7</f>
        <v>0.36249999999999999</v>
      </c>
      <c r="G7" s="74">
        <v>4</v>
      </c>
      <c r="H7" s="75">
        <f t="shared" si="1"/>
        <v>82691.821157822196</v>
      </c>
      <c r="I7" s="76">
        <f t="shared" si="2"/>
        <v>330767.28463128879</v>
      </c>
      <c r="J7" s="77">
        <f t="shared" si="3"/>
        <v>330767.28463128879</v>
      </c>
      <c r="K7" s="78"/>
      <c r="L7" s="79">
        <f t="shared" si="10"/>
        <v>0</v>
      </c>
      <c r="M7" s="80">
        <v>6</v>
      </c>
      <c r="N7" s="81">
        <f t="shared" si="4"/>
        <v>0</v>
      </c>
      <c r="O7" s="76">
        <f t="shared" si="5"/>
        <v>0</v>
      </c>
      <c r="P7" s="136">
        <f t="shared" si="6"/>
        <v>0</v>
      </c>
      <c r="Q7" s="82"/>
      <c r="R7" s="79">
        <f>((0)*12+(0.1)+(0.5)+(0.05)+(0.04)+(0.2))/S7</f>
        <v>5.2352941176470595E-2</v>
      </c>
      <c r="S7" s="80">
        <v>17</v>
      </c>
      <c r="T7" s="81">
        <f t="shared" si="7"/>
        <v>11942.510479588116</v>
      </c>
      <c r="U7" s="76">
        <f t="shared" si="8"/>
        <v>203022.67815299798</v>
      </c>
      <c r="V7" s="76">
        <f t="shared" si="9"/>
        <v>298562.76198970288</v>
      </c>
      <c r="W7" s="83"/>
      <c r="X7" s="83"/>
      <c r="Y7" s="83"/>
      <c r="Z7" s="83"/>
    </row>
    <row r="8" spans="1:26" ht="14.25" customHeight="1">
      <c r="A8" s="119" t="s">
        <v>103</v>
      </c>
      <c r="B8" s="76">
        <f t="shared" ref="B8:B13" si="11">D8/C8</f>
        <v>116453.56037151703</v>
      </c>
      <c r="C8" s="70">
        <v>3.23</v>
      </c>
      <c r="D8" s="77">
        <v>376145</v>
      </c>
      <c r="E8" s="72"/>
      <c r="F8" s="73">
        <f>((0.1)*2+(0.25)*2)/G8</f>
        <v>0.17499999999999999</v>
      </c>
      <c r="G8" s="74">
        <v>4</v>
      </c>
      <c r="H8" s="75">
        <f t="shared" si="1"/>
        <v>20379.373065015479</v>
      </c>
      <c r="I8" s="76">
        <f t="shared" si="2"/>
        <v>81517.492260061917</v>
      </c>
      <c r="J8" s="77">
        <f t="shared" si="3"/>
        <v>81517.492260061917</v>
      </c>
      <c r="K8" s="78"/>
      <c r="L8" s="79">
        <f t="shared" si="10"/>
        <v>0</v>
      </c>
      <c r="M8" s="80">
        <v>6</v>
      </c>
      <c r="N8" s="81">
        <f t="shared" si="4"/>
        <v>0</v>
      </c>
      <c r="O8" s="76">
        <f t="shared" si="5"/>
        <v>0</v>
      </c>
      <c r="P8" s="136">
        <f t="shared" si="6"/>
        <v>0</v>
      </c>
      <c r="Q8" s="82"/>
      <c r="R8" s="79">
        <f>((0)*13+(0.05)+(0.1)*2+(0.02))/S8</f>
        <v>1.5882352941176472E-2</v>
      </c>
      <c r="S8" s="80">
        <v>17</v>
      </c>
      <c r="T8" s="81">
        <f t="shared" si="7"/>
        <v>1849.5565470770355</v>
      </c>
      <c r="U8" s="76">
        <f t="shared" si="8"/>
        <v>31442.461300309602</v>
      </c>
      <c r="V8" s="76">
        <f t="shared" si="9"/>
        <v>46238.913676925884</v>
      </c>
      <c r="W8" s="83"/>
      <c r="X8" s="83"/>
      <c r="Y8" s="83"/>
      <c r="Z8" s="83"/>
    </row>
    <row r="9" spans="1:26" ht="14.25" customHeight="1">
      <c r="A9" s="119" t="s">
        <v>104</v>
      </c>
      <c r="B9" s="76">
        <f t="shared" si="11"/>
        <v>354513.99711399712</v>
      </c>
      <c r="C9" s="70">
        <v>6.93</v>
      </c>
      <c r="D9" s="77">
        <v>2456782</v>
      </c>
      <c r="E9" s="72"/>
      <c r="F9" s="73">
        <f>((0)*1+(0.25)*1+(0.5)*2)/G9</f>
        <v>0.3125</v>
      </c>
      <c r="G9" s="74">
        <v>4</v>
      </c>
      <c r="H9" s="75">
        <f t="shared" si="1"/>
        <v>110785.6240981241</v>
      </c>
      <c r="I9" s="76">
        <f t="shared" si="2"/>
        <v>443142.4963924964</v>
      </c>
      <c r="J9" s="77">
        <f t="shared" si="3"/>
        <v>443142.4963924964</v>
      </c>
      <c r="K9" s="78"/>
      <c r="L9" s="79">
        <f>((0)*3+(0.2)+(1)*2)/M9</f>
        <v>0.3666666666666667</v>
      </c>
      <c r="M9" s="80">
        <v>6</v>
      </c>
      <c r="N9" s="81">
        <f t="shared" si="4"/>
        <v>129988.46560846562</v>
      </c>
      <c r="O9" s="76">
        <f t="shared" si="5"/>
        <v>779930.79365079373</v>
      </c>
      <c r="P9" s="136">
        <f t="shared" si="6"/>
        <v>1039907.7248677249</v>
      </c>
      <c r="Q9" s="82"/>
      <c r="R9" s="79">
        <f>((0)*9+(0.05)*2+(0.1)*3+(1)+(0.5)*2)/S9</f>
        <v>0.14117647058823529</v>
      </c>
      <c r="S9" s="80">
        <v>17</v>
      </c>
      <c r="T9" s="81">
        <f t="shared" si="7"/>
        <v>50049.034886681948</v>
      </c>
      <c r="U9" s="76">
        <f t="shared" si="8"/>
        <v>850833.5930735931</v>
      </c>
      <c r="V9" s="76">
        <f t="shared" si="9"/>
        <v>1251225.8721670487</v>
      </c>
      <c r="W9" s="83"/>
      <c r="X9" s="83"/>
      <c r="Y9" s="83"/>
      <c r="Z9" s="83"/>
    </row>
    <row r="10" spans="1:26" ht="14.25" customHeight="1">
      <c r="A10" s="122" t="s">
        <v>105</v>
      </c>
      <c r="B10" s="76">
        <f t="shared" si="11"/>
        <v>200292.47491638793</v>
      </c>
      <c r="C10" s="85">
        <v>5.98</v>
      </c>
      <c r="D10" s="132">
        <v>1197749</v>
      </c>
      <c r="E10" s="124"/>
      <c r="F10" s="73">
        <f>((-0.25)*1+(0.25)*1+(0.5)*2)/G10</f>
        <v>0.25</v>
      </c>
      <c r="G10" s="74">
        <v>4</v>
      </c>
      <c r="H10" s="75">
        <f t="shared" si="1"/>
        <v>50073.118729096983</v>
      </c>
      <c r="I10" s="76">
        <f t="shared" si="2"/>
        <v>200292.47491638793</v>
      </c>
      <c r="J10" s="77">
        <f t="shared" si="3"/>
        <v>200292.47491638793</v>
      </c>
      <c r="K10" s="78"/>
      <c r="L10" s="79">
        <f>((0)*6)/M10</f>
        <v>0</v>
      </c>
      <c r="M10" s="80">
        <v>6</v>
      </c>
      <c r="N10" s="81">
        <f t="shared" si="4"/>
        <v>0</v>
      </c>
      <c r="O10" s="76">
        <f t="shared" si="5"/>
        <v>0</v>
      </c>
      <c r="P10" s="136">
        <f t="shared" si="6"/>
        <v>0</v>
      </c>
      <c r="Q10" s="82"/>
      <c r="R10" s="79">
        <f>((0)*17)/S10</f>
        <v>0</v>
      </c>
      <c r="S10" s="80">
        <v>17</v>
      </c>
      <c r="T10" s="81">
        <f t="shared" si="7"/>
        <v>0</v>
      </c>
      <c r="U10" s="76">
        <f t="shared" si="8"/>
        <v>0</v>
      </c>
      <c r="V10" s="76">
        <f t="shared" si="9"/>
        <v>0</v>
      </c>
      <c r="W10" s="83"/>
      <c r="X10" s="83"/>
      <c r="Y10" s="83"/>
      <c r="Z10" s="83"/>
    </row>
    <row r="11" spans="1:26" ht="14.25" customHeight="1">
      <c r="A11" s="122" t="s">
        <v>106</v>
      </c>
      <c r="B11" s="76">
        <f t="shared" si="11"/>
        <v>202236.99731903485</v>
      </c>
      <c r="C11" s="85">
        <v>3.73</v>
      </c>
      <c r="D11" s="132">
        <v>754344</v>
      </c>
      <c r="E11" s="124"/>
      <c r="F11" s="73">
        <f>((1)*1+(0.2)*1+(0.5)*2)/G11</f>
        <v>0.55000000000000004</v>
      </c>
      <c r="G11" s="74">
        <v>4</v>
      </c>
      <c r="H11" s="75">
        <f t="shared" si="1"/>
        <v>111230.34852546918</v>
      </c>
      <c r="I11" s="76">
        <f t="shared" si="2"/>
        <v>444921.39410187671</v>
      </c>
      <c r="J11" s="77">
        <f t="shared" si="3"/>
        <v>444921.39410187671</v>
      </c>
      <c r="K11" s="78"/>
      <c r="L11" s="79">
        <f>((0)*5+(0.1)*1)/M11</f>
        <v>1.6666666666666666E-2</v>
      </c>
      <c r="M11" s="80">
        <v>6</v>
      </c>
      <c r="N11" s="81">
        <f t="shared" si="4"/>
        <v>3370.6166219839142</v>
      </c>
      <c r="O11" s="76">
        <f t="shared" si="5"/>
        <v>20223.699731903485</v>
      </c>
      <c r="P11" s="136">
        <f t="shared" si="6"/>
        <v>26964.932975871314</v>
      </c>
      <c r="Q11" s="82"/>
      <c r="R11" s="79">
        <f>((0)*10+(0.1)*5+(0.04)+(2))/S11</f>
        <v>0.14941176470588236</v>
      </c>
      <c r="S11" s="80">
        <v>17</v>
      </c>
      <c r="T11" s="81">
        <f t="shared" si="7"/>
        <v>30216.586658255797</v>
      </c>
      <c r="U11" s="76">
        <f t="shared" si="8"/>
        <v>513681.97319034854</v>
      </c>
      <c r="V11" s="76">
        <f t="shared" si="9"/>
        <v>755414.66645639495</v>
      </c>
      <c r="W11" s="83"/>
      <c r="X11" s="83"/>
      <c r="Y11" s="83"/>
      <c r="Z11" s="83"/>
    </row>
    <row r="12" spans="1:26" ht="14.25" customHeight="1">
      <c r="A12" s="119" t="s">
        <v>107</v>
      </c>
      <c r="B12" s="76">
        <f t="shared" si="11"/>
        <v>168887.77777777778</v>
      </c>
      <c r="C12" s="70">
        <v>9</v>
      </c>
      <c r="D12" s="77">
        <v>1519990</v>
      </c>
      <c r="E12" s="72"/>
      <c r="F12" s="73">
        <f>((1)*1+(0.5)*1+(1.5)*2)/G12</f>
        <v>1.125</v>
      </c>
      <c r="G12" s="74">
        <v>4</v>
      </c>
      <c r="H12" s="75">
        <f t="shared" si="1"/>
        <v>189998.75</v>
      </c>
      <c r="I12" s="76">
        <f t="shared" si="2"/>
        <v>759995</v>
      </c>
      <c r="J12" s="77">
        <f t="shared" si="3"/>
        <v>759995</v>
      </c>
      <c r="K12" s="78"/>
      <c r="L12" s="79">
        <f>((0)*3+(0.25)*2+(2)*1)/M12</f>
        <v>0.41666666666666669</v>
      </c>
      <c r="M12" s="80">
        <v>6</v>
      </c>
      <c r="N12" s="81">
        <f t="shared" si="4"/>
        <v>70369.907407407416</v>
      </c>
      <c r="O12" s="76">
        <f t="shared" si="5"/>
        <v>422219.4444444445</v>
      </c>
      <c r="P12" s="136">
        <f t="shared" si="6"/>
        <v>562959.25925925933</v>
      </c>
      <c r="Q12" s="82"/>
      <c r="R12" s="79">
        <f>((0)*2+(0.08)+(0.05)+(0.1)*7+(0.25)+(0.5)*2+(1)+(2)*2)/S12</f>
        <v>0.41647058823529415</v>
      </c>
      <c r="S12" s="80">
        <v>17</v>
      </c>
      <c r="T12" s="81">
        <f t="shared" si="7"/>
        <v>70336.79215686275</v>
      </c>
      <c r="U12" s="76">
        <f t="shared" si="8"/>
        <v>1195725.4666666668</v>
      </c>
      <c r="V12" s="76">
        <f t="shared" si="9"/>
        <v>1758419.8039215687</v>
      </c>
      <c r="W12" s="83"/>
      <c r="X12" s="83"/>
      <c r="Y12" s="83"/>
      <c r="Z12" s="83"/>
    </row>
    <row r="13" spans="1:26" ht="14.25" customHeight="1">
      <c r="A13" s="119" t="s">
        <v>108</v>
      </c>
      <c r="B13" s="76">
        <f t="shared" si="11"/>
        <v>253572.79596977329</v>
      </c>
      <c r="C13" s="70">
        <v>3.97</v>
      </c>
      <c r="D13" s="77">
        <v>1006684</v>
      </c>
      <c r="E13" s="72"/>
      <c r="F13" s="73">
        <f>((1)*1+(2)*1+(0.5)*2)/G13</f>
        <v>1</v>
      </c>
      <c r="G13" s="74">
        <v>4</v>
      </c>
      <c r="H13" s="75">
        <f t="shared" si="1"/>
        <v>253572.79596977329</v>
      </c>
      <c r="I13" s="76">
        <f t="shared" si="2"/>
        <v>1014291.1838790932</v>
      </c>
      <c r="J13" s="77">
        <f t="shared" si="3"/>
        <v>1014291.1838790932</v>
      </c>
      <c r="K13" s="78"/>
      <c r="L13" s="79">
        <f>((0)*3+(0.1)*1+(0.25)+(1))/M13</f>
        <v>0.22500000000000001</v>
      </c>
      <c r="M13" s="80">
        <v>6</v>
      </c>
      <c r="N13" s="81">
        <f t="shared" si="4"/>
        <v>57053.879093198993</v>
      </c>
      <c r="O13" s="76">
        <f t="shared" si="5"/>
        <v>342323.27455919399</v>
      </c>
      <c r="P13" s="136">
        <f t="shared" si="6"/>
        <v>456431.03274559195</v>
      </c>
      <c r="Q13" s="82"/>
      <c r="R13" s="79">
        <f>((0)*8+(0.08)+(0.1)*6+(0.5)+(1))/S13</f>
        <v>0.12823529411764706</v>
      </c>
      <c r="S13" s="80">
        <v>17</v>
      </c>
      <c r="T13" s="81">
        <f t="shared" si="7"/>
        <v>32516.982071417988</v>
      </c>
      <c r="U13" s="76">
        <f t="shared" si="8"/>
        <v>552788.69521410577</v>
      </c>
      <c r="V13" s="76">
        <f t="shared" si="9"/>
        <v>812924.55178544973</v>
      </c>
      <c r="W13" s="83"/>
      <c r="X13" s="83"/>
      <c r="Y13" s="83"/>
      <c r="Z13" s="83"/>
    </row>
    <row r="14" spans="1:26" ht="14.25" customHeight="1">
      <c r="A14" s="119" t="s">
        <v>109</v>
      </c>
      <c r="B14" s="76">
        <f>D6/C6</f>
        <v>228115.36871123363</v>
      </c>
      <c r="C14" s="70" t="s">
        <v>102</v>
      </c>
      <c r="D14" s="77" t="s">
        <v>102</v>
      </c>
      <c r="E14" s="72"/>
      <c r="F14" s="73">
        <f>((0)*1+(0.2)*1+(0.25)*1+(1)*1)/G14</f>
        <v>0.36249999999999999</v>
      </c>
      <c r="G14" s="74">
        <v>4</v>
      </c>
      <c r="H14" s="75">
        <f t="shared" si="1"/>
        <v>82691.821157822196</v>
      </c>
      <c r="I14" s="76">
        <f t="shared" si="2"/>
        <v>330767.28463128879</v>
      </c>
      <c r="J14" s="77">
        <f t="shared" si="3"/>
        <v>330767.28463128879</v>
      </c>
      <c r="K14" s="78"/>
      <c r="L14" s="79">
        <f>((0)*2+(0.2)*2+(0.1)+(2))/M14</f>
        <v>0.41666666666666669</v>
      </c>
      <c r="M14" s="80">
        <v>6</v>
      </c>
      <c r="N14" s="81">
        <f t="shared" si="4"/>
        <v>95048.070296347345</v>
      </c>
      <c r="O14" s="76">
        <f t="shared" si="5"/>
        <v>570288.42177808401</v>
      </c>
      <c r="P14" s="136">
        <f t="shared" si="6"/>
        <v>760384.56237077876</v>
      </c>
      <c r="Q14" s="82"/>
      <c r="R14" s="79">
        <f>((0)*12+(0.02)+(0.01)*2+(0.25)+(0.5))/S14</f>
        <v>4.6470588235294118E-2</v>
      </c>
      <c r="S14" s="80">
        <v>17</v>
      </c>
      <c r="T14" s="81">
        <f t="shared" si="7"/>
        <v>10600.655369522034</v>
      </c>
      <c r="U14" s="76">
        <f t="shared" si="8"/>
        <v>180211.14128187456</v>
      </c>
      <c r="V14" s="76">
        <f t="shared" si="9"/>
        <v>265016.38423805084</v>
      </c>
      <c r="W14" s="83"/>
      <c r="X14" s="83"/>
      <c r="Y14" s="83"/>
      <c r="Z14" s="83"/>
    </row>
    <row r="15" spans="1:26" ht="14.25" customHeight="1">
      <c r="A15" s="122" t="s">
        <v>110</v>
      </c>
      <c r="B15" s="76">
        <f t="shared" ref="B15:B16" si="12">D15/C15</f>
        <v>214569.5205479452</v>
      </c>
      <c r="C15" s="85">
        <v>8.76</v>
      </c>
      <c r="D15" s="132">
        <v>1879629</v>
      </c>
      <c r="E15" s="124"/>
      <c r="F15" s="73">
        <f>((0)*2+(0.25)*1+(2)*1)/G15</f>
        <v>0.5625</v>
      </c>
      <c r="G15" s="74">
        <v>4</v>
      </c>
      <c r="H15" s="75">
        <f t="shared" si="1"/>
        <v>120695.35530821918</v>
      </c>
      <c r="I15" s="76">
        <f t="shared" si="2"/>
        <v>482781.42123287672</v>
      </c>
      <c r="J15" s="77">
        <f t="shared" si="3"/>
        <v>482781.42123287672</v>
      </c>
      <c r="K15" s="78"/>
      <c r="L15" s="79">
        <f>((0)*5+(0.25)*1)/M15</f>
        <v>4.1666666666666664E-2</v>
      </c>
      <c r="M15" s="80">
        <v>6</v>
      </c>
      <c r="N15" s="81">
        <f t="shared" si="4"/>
        <v>8940.3966894977166</v>
      </c>
      <c r="O15" s="76">
        <f t="shared" si="5"/>
        <v>53642.380136986299</v>
      </c>
      <c r="P15" s="136">
        <f t="shared" si="6"/>
        <v>71523.173515981733</v>
      </c>
      <c r="Q15" s="82"/>
      <c r="R15" s="79">
        <f>((0)*14+(0.1)+(0.05)+(0.02))/S15</f>
        <v>0.01</v>
      </c>
      <c r="S15" s="80">
        <v>17</v>
      </c>
      <c r="T15" s="81">
        <f t="shared" si="7"/>
        <v>2145.6952054794519</v>
      </c>
      <c r="U15" s="76">
        <f t="shared" si="8"/>
        <v>36476.818493150684</v>
      </c>
      <c r="V15" s="76">
        <f t="shared" si="9"/>
        <v>53642.380136986299</v>
      </c>
      <c r="W15" s="83"/>
      <c r="X15" s="83"/>
      <c r="Y15" s="83"/>
      <c r="Z15" s="83"/>
    </row>
    <row r="16" spans="1:26" ht="40.5" customHeight="1">
      <c r="A16" s="125" t="s">
        <v>111</v>
      </c>
      <c r="B16" s="95">
        <f t="shared" si="12"/>
        <v>221435.89081519734</v>
      </c>
      <c r="C16" s="90">
        <v>27.11</v>
      </c>
      <c r="D16" s="133">
        <v>6003127</v>
      </c>
      <c r="E16" s="124"/>
      <c r="F16" s="92">
        <f>((3)*1+(5)*2+(10)*1)/G16</f>
        <v>5.75</v>
      </c>
      <c r="G16" s="93">
        <v>4</v>
      </c>
      <c r="H16" s="94">
        <f t="shared" si="1"/>
        <v>1273256.3721873846</v>
      </c>
      <c r="I16" s="95">
        <f t="shared" si="2"/>
        <v>5093025.4887495385</v>
      </c>
      <c r="J16" s="96">
        <f t="shared" si="3"/>
        <v>5093025.4887495385</v>
      </c>
      <c r="K16" s="78"/>
      <c r="L16" s="97">
        <f>((0)*2+(0.1)+(0.25)+(1)+(2))/M16</f>
        <v>0.55833333333333335</v>
      </c>
      <c r="M16" s="128">
        <v>6</v>
      </c>
      <c r="N16" s="98">
        <f t="shared" si="4"/>
        <v>123635.03903848519</v>
      </c>
      <c r="O16" s="95">
        <f t="shared" si="5"/>
        <v>741810.23423091113</v>
      </c>
      <c r="P16" s="137">
        <f t="shared" si="6"/>
        <v>989080.31230788154</v>
      </c>
      <c r="Q16" s="82"/>
      <c r="R16" s="79">
        <f>((0)*11+(0.02)+(0.05)+(0.1)*2+(0.4)+1)/S16</f>
        <v>9.823529411764706E-2</v>
      </c>
      <c r="S16" s="80">
        <v>17</v>
      </c>
      <c r="T16" s="81">
        <f t="shared" si="7"/>
        <v>21752.819862434091</v>
      </c>
      <c r="U16" s="76">
        <f t="shared" si="8"/>
        <v>369797.93766137958</v>
      </c>
      <c r="V16" s="76">
        <f t="shared" si="9"/>
        <v>543820.49656085228</v>
      </c>
      <c r="W16" s="83"/>
      <c r="X16" s="83"/>
      <c r="Y16" s="83"/>
      <c r="Z16" s="83"/>
    </row>
    <row r="17" spans="1:26" ht="14.25" customHeight="1">
      <c r="A17" s="99" t="s">
        <v>112</v>
      </c>
      <c r="B17" s="99"/>
      <c r="C17" s="129">
        <f t="shared" ref="C17:D17" si="13">SUM(C4:C16)</f>
        <v>91.07</v>
      </c>
      <c r="D17" s="107">
        <f t="shared" si="13"/>
        <v>19993698</v>
      </c>
      <c r="E17" s="134"/>
      <c r="F17" s="103">
        <f>SUM(F4:F16)</f>
        <v>14.5</v>
      </c>
      <c r="G17" s="104"/>
      <c r="H17" s="106"/>
      <c r="I17" s="106">
        <f t="shared" ref="I17:J17" si="14">SUM(I4:I16)</f>
        <v>12118883.237691546</v>
      </c>
      <c r="J17" s="107">
        <f t="shared" si="14"/>
        <v>12118883.237691546</v>
      </c>
      <c r="K17" s="134"/>
      <c r="L17" s="103">
        <f>SUM(L4:L16)</f>
        <v>2.2750000000000004</v>
      </c>
      <c r="M17" s="104"/>
      <c r="N17" s="106"/>
      <c r="O17" s="106">
        <f t="shared" ref="O17:P17" si="15">SUM(O4:O16)</f>
        <v>3166388.614489764</v>
      </c>
      <c r="P17" s="107">
        <f t="shared" si="15"/>
        <v>4221851.485986352</v>
      </c>
      <c r="Q17" s="134"/>
      <c r="R17" s="103">
        <f>SUM(R4:R16)</f>
        <v>1.1641176470588235</v>
      </c>
      <c r="S17" s="104"/>
      <c r="T17" s="106"/>
      <c r="U17" s="106">
        <f t="shared" ref="U17:V17" si="16">SUM(U4:U16)</f>
        <v>4275855.4848842733</v>
      </c>
      <c r="V17" s="106">
        <f t="shared" si="16"/>
        <v>6288022.771888637</v>
      </c>
      <c r="W17" s="83"/>
      <c r="X17" s="83"/>
      <c r="Y17" s="83"/>
      <c r="Z17" s="83"/>
    </row>
    <row r="18" spans="1:26" ht="14.25" customHeight="1">
      <c r="A18" s="131" t="s">
        <v>139</v>
      </c>
    </row>
    <row r="19" spans="1:26" ht="14.25" customHeight="1">
      <c r="A19" s="112" t="s">
        <v>140</v>
      </c>
    </row>
    <row r="20" spans="1:26" ht="14.25" customHeight="1"/>
    <row r="21" spans="1:26" ht="14.25" customHeight="1">
      <c r="B21" s="113" t="s">
        <v>115</v>
      </c>
      <c r="C21" s="113" t="s">
        <v>116</v>
      </c>
    </row>
    <row r="22" spans="1:26" ht="14.25" customHeight="1">
      <c r="B22" s="113" t="s">
        <v>117</v>
      </c>
      <c r="C22" s="113" t="s">
        <v>118</v>
      </c>
    </row>
    <row r="23" spans="1:26" ht="14.25" customHeight="1">
      <c r="B23" s="113" t="s">
        <v>119</v>
      </c>
      <c r="C23" s="113" t="s">
        <v>120</v>
      </c>
    </row>
    <row r="24" spans="1:26" ht="14.25" customHeight="1">
      <c r="B24" s="113" t="s">
        <v>121</v>
      </c>
      <c r="C24" s="113" t="s">
        <v>122</v>
      </c>
    </row>
    <row r="25" spans="1:26" ht="14.25" customHeight="1">
      <c r="B25" s="113" t="s">
        <v>123</v>
      </c>
      <c r="C25" s="113" t="s">
        <v>124</v>
      </c>
    </row>
    <row r="26" spans="1:26" ht="14.25" customHeight="1">
      <c r="B26" s="113" t="s">
        <v>125</v>
      </c>
      <c r="C26" s="113" t="s">
        <v>126</v>
      </c>
    </row>
    <row r="27" spans="1:26" ht="14.25" customHeight="1"/>
    <row r="28" spans="1:26" ht="14.25" customHeight="1"/>
    <row r="29" spans="1:26" ht="14.25" customHeight="1"/>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2:B2"/>
    <mergeCell ref="F2:J2"/>
    <mergeCell ref="L2:P2"/>
    <mergeCell ref="R2:V2"/>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defaultColWidth="14.453125" defaultRowHeight="15" customHeight="1"/>
  <cols>
    <col min="1" max="1" width="23.7265625" customWidth="1"/>
    <col min="2" max="2" width="10.08984375" customWidth="1"/>
    <col min="3" max="3" width="6.54296875" customWidth="1"/>
    <col min="4" max="4" width="13" customWidth="1"/>
    <col min="5" max="5" width="0.453125" customWidth="1"/>
    <col min="6" max="6" width="7.26953125" customWidth="1"/>
    <col min="7" max="7" width="7.81640625" customWidth="1"/>
    <col min="8" max="8" width="11" customWidth="1"/>
    <col min="9" max="9" width="12.08984375" customWidth="1"/>
    <col min="10" max="10" width="11.7265625" customWidth="1"/>
    <col min="11" max="11" width="0.453125" customWidth="1"/>
    <col min="12" max="12" width="7.7265625" customWidth="1"/>
    <col min="13" max="13" width="8.08984375" customWidth="1"/>
    <col min="14" max="14" width="8.26953125" customWidth="1"/>
    <col min="15" max="15" width="11" customWidth="1"/>
    <col min="16" max="16" width="11.81640625" customWidth="1"/>
    <col min="17" max="17" width="0.453125" customWidth="1"/>
    <col min="18" max="20" width="8.7265625" customWidth="1"/>
    <col min="21" max="21" width="11.26953125" customWidth="1"/>
    <col min="22" max="22" width="11.7265625" customWidth="1"/>
    <col min="23" max="26" width="8.7265625" customWidth="1"/>
  </cols>
  <sheetData>
    <row r="1" spans="1:26" ht="14.25" customHeight="1">
      <c r="A1" s="83" t="s">
        <v>149</v>
      </c>
      <c r="B1" s="83"/>
      <c r="C1" s="83"/>
      <c r="D1" s="83"/>
      <c r="E1" s="83"/>
      <c r="F1" s="83"/>
      <c r="G1" s="83"/>
      <c r="H1" s="83"/>
      <c r="I1" s="83"/>
      <c r="J1" s="83"/>
      <c r="K1" s="83"/>
      <c r="L1" s="83"/>
      <c r="M1" s="83"/>
      <c r="N1" s="83"/>
      <c r="O1" s="83"/>
      <c r="P1" s="83"/>
      <c r="Q1" s="83"/>
      <c r="R1" s="83"/>
      <c r="S1" s="83"/>
      <c r="T1" s="83"/>
      <c r="U1" s="83"/>
      <c r="V1" s="83"/>
      <c r="W1" s="83"/>
      <c r="X1" s="83"/>
      <c r="Y1" s="83"/>
      <c r="Z1" s="83"/>
    </row>
    <row r="2" spans="1:26" ht="14.25" customHeight="1">
      <c r="A2" s="321" t="s">
        <v>150</v>
      </c>
      <c r="B2" s="311"/>
      <c r="C2" s="138"/>
      <c r="D2" s="139"/>
      <c r="E2" s="140"/>
      <c r="F2" s="322" t="s">
        <v>78</v>
      </c>
      <c r="G2" s="313"/>
      <c r="H2" s="313"/>
      <c r="I2" s="313"/>
      <c r="J2" s="311"/>
      <c r="K2" s="141"/>
      <c r="L2" s="322" t="s">
        <v>79</v>
      </c>
      <c r="M2" s="313"/>
      <c r="N2" s="313"/>
      <c r="O2" s="313"/>
      <c r="P2" s="311"/>
      <c r="Q2" s="142"/>
      <c r="R2" s="323" t="s">
        <v>80</v>
      </c>
      <c r="S2" s="316"/>
      <c r="T2" s="316"/>
      <c r="U2" s="316"/>
      <c r="V2" s="317"/>
      <c r="W2" s="83"/>
      <c r="X2" s="83"/>
      <c r="Y2" s="83"/>
      <c r="Z2" s="83"/>
    </row>
    <row r="3" spans="1:26" ht="14.25" customHeight="1">
      <c r="A3" s="143" t="s">
        <v>81</v>
      </c>
      <c r="B3" s="144" t="s">
        <v>82</v>
      </c>
      <c r="C3" s="144" t="s">
        <v>83</v>
      </c>
      <c r="D3" s="145" t="s">
        <v>135</v>
      </c>
      <c r="E3" s="140"/>
      <c r="F3" s="146" t="s">
        <v>85</v>
      </c>
      <c r="G3" s="144" t="s">
        <v>129</v>
      </c>
      <c r="H3" s="144" t="s">
        <v>87</v>
      </c>
      <c r="I3" s="144" t="s">
        <v>147</v>
      </c>
      <c r="J3" s="145" t="s">
        <v>136</v>
      </c>
      <c r="K3" s="140"/>
      <c r="L3" s="146" t="s">
        <v>85</v>
      </c>
      <c r="M3" s="144" t="s">
        <v>130</v>
      </c>
      <c r="N3" s="144" t="s">
        <v>91</v>
      </c>
      <c r="O3" s="144" t="s">
        <v>92</v>
      </c>
      <c r="P3" s="145" t="s">
        <v>97</v>
      </c>
      <c r="Q3" s="147"/>
      <c r="R3" s="146" t="s">
        <v>85</v>
      </c>
      <c r="S3" s="144" t="s">
        <v>131</v>
      </c>
      <c r="T3" s="144" t="s">
        <v>95</v>
      </c>
      <c r="U3" s="144" t="s">
        <v>96</v>
      </c>
      <c r="V3" s="144" t="s">
        <v>151</v>
      </c>
      <c r="W3" s="83"/>
      <c r="X3" s="83"/>
      <c r="Y3" s="83"/>
      <c r="Z3" s="83"/>
    </row>
    <row r="4" spans="1:26" ht="14.25" customHeight="1">
      <c r="A4" s="119" t="s">
        <v>98</v>
      </c>
      <c r="B4" s="76">
        <f t="shared" ref="B4:B6" si="0">D4/C4</f>
        <v>164240.3846153846</v>
      </c>
      <c r="C4" s="70">
        <v>2.08</v>
      </c>
      <c r="D4" s="148">
        <v>341620</v>
      </c>
      <c r="E4" s="72"/>
      <c r="F4" s="73">
        <f>(((1+2)/2)+2+0.5+((3+2)/2))/G4</f>
        <v>1.625</v>
      </c>
      <c r="G4" s="74">
        <v>4</v>
      </c>
      <c r="H4" s="75">
        <f t="shared" ref="H4:H16" si="1">B4*F4</f>
        <v>266890.62499999994</v>
      </c>
      <c r="I4" s="76">
        <f t="shared" ref="I4:I16" si="2">H4*G4</f>
        <v>1067562.4999999998</v>
      </c>
      <c r="J4" s="77">
        <f t="shared" ref="J4:J16" si="3">H4*4</f>
        <v>1067562.4999999998</v>
      </c>
      <c r="K4" s="78"/>
      <c r="L4" s="79">
        <f t="shared" ref="L4:L5" si="4">(0+0+0+0+0+0+0.1)/M4</f>
        <v>1.4285714285714287E-2</v>
      </c>
      <c r="M4" s="80">
        <v>7</v>
      </c>
      <c r="N4" s="81">
        <f t="shared" ref="N4:N16" si="5">B4*L4</f>
        <v>2346.2912087912086</v>
      </c>
      <c r="O4" s="76">
        <f t="shared" ref="O4:O16" si="6">N4*M4</f>
        <v>16424.038461538461</v>
      </c>
      <c r="P4" s="136">
        <f t="shared" ref="P4:P16" si="7">N4*7</f>
        <v>16424.038461538461</v>
      </c>
      <c r="Q4" s="82"/>
      <c r="R4" s="79">
        <f>(0+0+0.2+0+0+((0+0.5)/2)+0+0+0+0+0+0+0.5+0.2+0.5+0)/S4</f>
        <v>0.10312499999999999</v>
      </c>
      <c r="S4" s="80">
        <v>16</v>
      </c>
      <c r="T4" s="81">
        <f t="shared" ref="T4:T16" si="8">B4*R4</f>
        <v>16937.289663461535</v>
      </c>
      <c r="U4" s="76">
        <f t="shared" ref="U4:U16" si="9">T4*S4</f>
        <v>270996.63461538457</v>
      </c>
      <c r="V4" s="76">
        <f t="shared" ref="V4:V16" si="10">T4*26</f>
        <v>440369.53124999994</v>
      </c>
      <c r="W4" s="83"/>
      <c r="X4" s="83"/>
      <c r="Y4" s="83"/>
      <c r="Z4" s="83"/>
    </row>
    <row r="5" spans="1:26" ht="14.25" customHeight="1">
      <c r="A5" s="122" t="s">
        <v>99</v>
      </c>
      <c r="B5" s="76">
        <f t="shared" si="0"/>
        <v>177577.59285714285</v>
      </c>
      <c r="C5" s="85">
        <v>7</v>
      </c>
      <c r="D5" s="149">
        <v>1243043.1499999999</v>
      </c>
      <c r="E5" s="124"/>
      <c r="F5" s="73">
        <f>(((1+0.25)/2)+4+0+((0.2+0.5)/2))/G5</f>
        <v>1.2437499999999999</v>
      </c>
      <c r="G5" s="74">
        <v>4</v>
      </c>
      <c r="H5" s="75">
        <f t="shared" si="1"/>
        <v>220862.1311160714</v>
      </c>
      <c r="I5" s="76">
        <f t="shared" si="2"/>
        <v>883448.52446428558</v>
      </c>
      <c r="J5" s="77">
        <f t="shared" si="3"/>
        <v>883448.52446428558</v>
      </c>
      <c r="K5" s="78"/>
      <c r="L5" s="79">
        <f t="shared" si="4"/>
        <v>1.4285714285714287E-2</v>
      </c>
      <c r="M5" s="80">
        <v>7</v>
      </c>
      <c r="N5" s="81">
        <f t="shared" si="5"/>
        <v>2536.8227551020409</v>
      </c>
      <c r="O5" s="76">
        <f t="shared" si="6"/>
        <v>17757.759285714288</v>
      </c>
      <c r="P5" s="136">
        <f t="shared" si="7"/>
        <v>17757.759285714288</v>
      </c>
      <c r="Q5" s="82"/>
      <c r="R5" s="79">
        <f>(0+0+0+0+0+((0+0.5)/2)+0+0+0+0+0+0+0.2+0.2+0.1+0)/S5</f>
        <v>4.6875E-2</v>
      </c>
      <c r="S5" s="80">
        <v>16</v>
      </c>
      <c r="T5" s="81">
        <f t="shared" si="8"/>
        <v>8323.9496651785703</v>
      </c>
      <c r="U5" s="76">
        <f t="shared" si="9"/>
        <v>133183.19464285712</v>
      </c>
      <c r="V5" s="76">
        <f t="shared" si="10"/>
        <v>216422.69129464283</v>
      </c>
      <c r="W5" s="83"/>
      <c r="X5" s="83"/>
      <c r="Y5" s="83"/>
      <c r="Z5" s="83"/>
    </row>
    <row r="6" spans="1:26" ht="14.25" customHeight="1">
      <c r="A6" s="119" t="s">
        <v>100</v>
      </c>
      <c r="B6" s="76">
        <f t="shared" si="0"/>
        <v>197461.15761935909</v>
      </c>
      <c r="C6" s="70">
        <v>15.29</v>
      </c>
      <c r="D6" s="150">
        <v>3019181.1</v>
      </c>
      <c r="E6" s="72"/>
      <c r="F6" s="73">
        <f>(((2+0.5)/2)+0.25+0+((1+0.25)/2))/G6</f>
        <v>0.53125</v>
      </c>
      <c r="G6" s="74">
        <v>4</v>
      </c>
      <c r="H6" s="75">
        <f t="shared" si="1"/>
        <v>104901.23998528451</v>
      </c>
      <c r="I6" s="76">
        <f t="shared" si="2"/>
        <v>419604.95994113805</v>
      </c>
      <c r="J6" s="77">
        <f t="shared" si="3"/>
        <v>419604.95994113805</v>
      </c>
      <c r="K6" s="78"/>
      <c r="L6" s="79">
        <f>(0+0+0+0+0+0.25+0)/M6</f>
        <v>3.5714285714285712E-2</v>
      </c>
      <c r="M6" s="80">
        <v>7</v>
      </c>
      <c r="N6" s="81">
        <f t="shared" si="5"/>
        <v>7052.1842006913957</v>
      </c>
      <c r="O6" s="76">
        <f t="shared" si="6"/>
        <v>49365.289404839772</v>
      </c>
      <c r="P6" s="136">
        <f t="shared" si="7"/>
        <v>49365.289404839772</v>
      </c>
      <c r="Q6" s="82"/>
      <c r="R6" s="79">
        <f>(0+0+0+0+0+((0+0)/2)+0.5+0+0+0+0+0+0.2+1+0.1+0)/S6</f>
        <v>0.1125</v>
      </c>
      <c r="S6" s="80">
        <v>16</v>
      </c>
      <c r="T6" s="81">
        <f t="shared" si="8"/>
        <v>22214.380232177897</v>
      </c>
      <c r="U6" s="76">
        <f t="shared" si="9"/>
        <v>355430.08371484635</v>
      </c>
      <c r="V6" s="76">
        <f t="shared" si="10"/>
        <v>577573.88603662536</v>
      </c>
      <c r="W6" s="83"/>
      <c r="X6" s="83"/>
      <c r="Y6" s="83"/>
      <c r="Z6" s="83"/>
    </row>
    <row r="7" spans="1:26" ht="14.25" customHeight="1">
      <c r="A7" s="119" t="s">
        <v>101</v>
      </c>
      <c r="B7" s="76">
        <f>D6/C6</f>
        <v>197461.15761935909</v>
      </c>
      <c r="C7" s="70" t="s">
        <v>102</v>
      </c>
      <c r="D7" s="77" t="s">
        <v>102</v>
      </c>
      <c r="E7" s="72"/>
      <c r="F7" s="73">
        <f>(((0.5+0.5)/2)+1+0.1+((0.1+0.1)/2))/G7</f>
        <v>0.42500000000000004</v>
      </c>
      <c r="G7" s="74">
        <v>4</v>
      </c>
      <c r="H7" s="75">
        <f t="shared" si="1"/>
        <v>83920.991988227615</v>
      </c>
      <c r="I7" s="76">
        <f t="shared" si="2"/>
        <v>335683.96795291046</v>
      </c>
      <c r="J7" s="77">
        <f t="shared" si="3"/>
        <v>335683.96795291046</v>
      </c>
      <c r="K7" s="78"/>
      <c r="L7" s="79">
        <f>(0+0+0+0.25+0+0.25+0)/M7</f>
        <v>7.1428571428571425E-2</v>
      </c>
      <c r="M7" s="80">
        <v>7</v>
      </c>
      <c r="N7" s="81">
        <f t="shared" si="5"/>
        <v>14104.368401382791</v>
      </c>
      <c r="O7" s="76">
        <f t="shared" si="6"/>
        <v>98730.578809679544</v>
      </c>
      <c r="P7" s="136">
        <f t="shared" si="7"/>
        <v>98730.578809679544</v>
      </c>
      <c r="Q7" s="82"/>
      <c r="R7" s="79">
        <f>(0+0+0+0+0+((0+0)/2)+0+0+0+0+0+0+0.2+0.5+0.1+0)/S7</f>
        <v>4.9999999999999996E-2</v>
      </c>
      <c r="S7" s="80">
        <v>16</v>
      </c>
      <c r="T7" s="81">
        <f t="shared" si="8"/>
        <v>9873.0578809679537</v>
      </c>
      <c r="U7" s="76">
        <f t="shared" si="9"/>
        <v>157968.92609548726</v>
      </c>
      <c r="V7" s="76">
        <f t="shared" si="10"/>
        <v>256699.5049051668</v>
      </c>
      <c r="W7" s="83"/>
      <c r="X7" s="83"/>
      <c r="Y7" s="83"/>
      <c r="Z7" s="83"/>
    </row>
    <row r="8" spans="1:26" ht="14.25" customHeight="1">
      <c r="A8" s="119" t="s">
        <v>103</v>
      </c>
      <c r="B8" s="76">
        <f t="shared" ref="B8:B13" si="11">D8/C8</f>
        <v>153457.67877629062</v>
      </c>
      <c r="C8" s="70">
        <v>5.23</v>
      </c>
      <c r="D8" s="150">
        <v>802583.66</v>
      </c>
      <c r="E8" s="72"/>
      <c r="F8" s="73">
        <f>(((0.1+0.25)/2)+0.2+0+((0.1+0.2)/2))/G8</f>
        <v>0.13125000000000001</v>
      </c>
      <c r="G8" s="74">
        <v>4</v>
      </c>
      <c r="H8" s="75">
        <f t="shared" si="1"/>
        <v>20141.320339388145</v>
      </c>
      <c r="I8" s="76">
        <f t="shared" si="2"/>
        <v>80565.28135755258</v>
      </c>
      <c r="J8" s="77">
        <f t="shared" si="3"/>
        <v>80565.28135755258</v>
      </c>
      <c r="K8" s="78"/>
      <c r="L8" s="79">
        <f>((0)*7)/M8</f>
        <v>0</v>
      </c>
      <c r="M8" s="80">
        <v>7</v>
      </c>
      <c r="N8" s="81">
        <f t="shared" si="5"/>
        <v>0</v>
      </c>
      <c r="O8" s="76">
        <f t="shared" si="6"/>
        <v>0</v>
      </c>
      <c r="P8" s="136">
        <f t="shared" si="7"/>
        <v>0</v>
      </c>
      <c r="Q8" s="82"/>
      <c r="R8" s="79">
        <f>(0+0+0+0+0+((0+0)/2)+0+0+0+0+0+0+0+0+0.2+0.1)/S8</f>
        <v>1.8750000000000003E-2</v>
      </c>
      <c r="S8" s="80">
        <v>16</v>
      </c>
      <c r="T8" s="81">
        <f t="shared" si="8"/>
        <v>2877.3314770554493</v>
      </c>
      <c r="U8" s="76">
        <f t="shared" si="9"/>
        <v>46037.303632887189</v>
      </c>
      <c r="V8" s="76">
        <f t="shared" si="10"/>
        <v>74810.61840344168</v>
      </c>
      <c r="W8" s="83"/>
      <c r="X8" s="83"/>
      <c r="Y8" s="83"/>
      <c r="Z8" s="83"/>
    </row>
    <row r="9" spans="1:26" ht="14.25" customHeight="1">
      <c r="A9" s="119" t="s">
        <v>104</v>
      </c>
      <c r="B9" s="76">
        <f t="shared" si="11"/>
        <v>281748.92295839754</v>
      </c>
      <c r="C9" s="70">
        <v>6.49</v>
      </c>
      <c r="D9" s="150">
        <v>1828550.51</v>
      </c>
      <c r="E9" s="72"/>
      <c r="F9" s="73">
        <f>(((0.5+0.5)/2)+0.5+0+((0.5+0)/2))/G9</f>
        <v>0.3125</v>
      </c>
      <c r="G9" s="74">
        <v>4</v>
      </c>
      <c r="H9" s="75">
        <f t="shared" si="1"/>
        <v>88046.538424499231</v>
      </c>
      <c r="I9" s="76">
        <f t="shared" si="2"/>
        <v>352186.15369799692</v>
      </c>
      <c r="J9" s="77">
        <f t="shared" si="3"/>
        <v>352186.15369799692</v>
      </c>
      <c r="K9" s="78"/>
      <c r="L9" s="79">
        <f>(0+1+0+0+0+0.5+0)/M9</f>
        <v>0.21428571428571427</v>
      </c>
      <c r="M9" s="80">
        <v>7</v>
      </c>
      <c r="N9" s="81">
        <f t="shared" si="5"/>
        <v>60374.769205370896</v>
      </c>
      <c r="O9" s="76">
        <f t="shared" si="6"/>
        <v>422623.38443759625</v>
      </c>
      <c r="P9" s="136">
        <f t="shared" si="7"/>
        <v>422623.38443759625</v>
      </c>
      <c r="Q9" s="82"/>
      <c r="R9" s="79">
        <f>(0+0+0.2+0+0+((0+0.5)/2)+0+0+0+0+0+0+0.5+0.2+0.5+0)/S9</f>
        <v>0.10312499999999999</v>
      </c>
      <c r="S9" s="80">
        <v>16</v>
      </c>
      <c r="T9" s="81">
        <f t="shared" si="8"/>
        <v>29055.357680084744</v>
      </c>
      <c r="U9" s="76">
        <f t="shared" si="9"/>
        <v>464885.7228813559</v>
      </c>
      <c r="V9" s="76">
        <f t="shared" si="10"/>
        <v>755439.29968220333</v>
      </c>
      <c r="W9" s="83"/>
      <c r="X9" s="83"/>
      <c r="Y9" s="83"/>
      <c r="Z9" s="83"/>
    </row>
    <row r="10" spans="1:26" ht="14.25" customHeight="1">
      <c r="A10" s="122" t="s">
        <v>105</v>
      </c>
      <c r="B10" s="76">
        <f t="shared" si="11"/>
        <v>223814.5897810219</v>
      </c>
      <c r="C10" s="85">
        <v>6.85</v>
      </c>
      <c r="D10" s="149">
        <v>1533129.94</v>
      </c>
      <c r="E10" s="124"/>
      <c r="F10" s="73">
        <f>(((1+0.25)/2)+0.5+(-0.5)+((0.5+0.25)/2))/G10</f>
        <v>0.25</v>
      </c>
      <c r="G10" s="74">
        <v>4</v>
      </c>
      <c r="H10" s="75">
        <f t="shared" si="1"/>
        <v>55953.647445255476</v>
      </c>
      <c r="I10" s="76">
        <f t="shared" si="2"/>
        <v>223814.5897810219</v>
      </c>
      <c r="J10" s="77">
        <f t="shared" si="3"/>
        <v>223814.5897810219</v>
      </c>
      <c r="K10" s="78"/>
      <c r="L10" s="79">
        <f>(0+0+0+0+0+0.25+0)/M10</f>
        <v>3.5714285714285712E-2</v>
      </c>
      <c r="M10" s="80">
        <v>7</v>
      </c>
      <c r="N10" s="81">
        <f t="shared" si="5"/>
        <v>7993.3782064650677</v>
      </c>
      <c r="O10" s="76">
        <f t="shared" si="6"/>
        <v>55953.647445255476</v>
      </c>
      <c r="P10" s="136">
        <f t="shared" si="7"/>
        <v>55953.647445255476</v>
      </c>
      <c r="Q10" s="82"/>
      <c r="R10" s="79">
        <f>(0+0.5+0.2+0+0+((0+1)/2)+0+0+0+0.1+0.1+0+0+0+0+0)/S10</f>
        <v>8.7500000000000008E-2</v>
      </c>
      <c r="S10" s="80">
        <v>16</v>
      </c>
      <c r="T10" s="81">
        <f t="shared" si="8"/>
        <v>19583.776605839419</v>
      </c>
      <c r="U10" s="76">
        <f t="shared" si="9"/>
        <v>313340.4256934307</v>
      </c>
      <c r="V10" s="76">
        <f t="shared" si="10"/>
        <v>509178.19175182492</v>
      </c>
      <c r="W10" s="83"/>
      <c r="X10" s="83"/>
      <c r="Y10" s="83"/>
      <c r="Z10" s="83"/>
    </row>
    <row r="11" spans="1:26" ht="14.25" customHeight="1">
      <c r="A11" s="122" t="s">
        <v>106</v>
      </c>
      <c r="B11" s="76">
        <f t="shared" si="11"/>
        <v>193918.79189189189</v>
      </c>
      <c r="C11" s="85">
        <v>3.7</v>
      </c>
      <c r="D11" s="149">
        <v>717499.53</v>
      </c>
      <c r="E11" s="124"/>
      <c r="F11" s="73">
        <f>(((1+0.5)/2)+0.5+1.5+((0.2+2)/2))/G11</f>
        <v>0.96250000000000002</v>
      </c>
      <c r="G11" s="74">
        <v>4</v>
      </c>
      <c r="H11" s="75">
        <f t="shared" si="1"/>
        <v>186646.83719594593</v>
      </c>
      <c r="I11" s="76">
        <f t="shared" si="2"/>
        <v>746587.34878378373</v>
      </c>
      <c r="J11" s="77">
        <f t="shared" si="3"/>
        <v>746587.34878378373</v>
      </c>
      <c r="K11" s="78"/>
      <c r="L11" s="79">
        <f>(0+0+0.1+0.1+0+0.25+0.1)/M11</f>
        <v>7.8571428571428584E-2</v>
      </c>
      <c r="M11" s="80">
        <v>7</v>
      </c>
      <c r="N11" s="81">
        <f t="shared" si="5"/>
        <v>15236.476505791508</v>
      </c>
      <c r="O11" s="76">
        <f t="shared" si="6"/>
        <v>106655.33554054056</v>
      </c>
      <c r="P11" s="136">
        <f t="shared" si="7"/>
        <v>106655.33554054056</v>
      </c>
      <c r="Q11" s="82"/>
      <c r="R11" s="79">
        <f>(0.1+0+0.2+0+0+((0.1+1)/2)+0+0.25+0+0.1+0.1+0+0.2+0.2+0.2+0.1)/S11</f>
        <v>0.125</v>
      </c>
      <c r="S11" s="80">
        <v>16</v>
      </c>
      <c r="T11" s="81">
        <f t="shared" si="8"/>
        <v>24239.848986486486</v>
      </c>
      <c r="U11" s="76">
        <f t="shared" si="9"/>
        <v>387837.58378378378</v>
      </c>
      <c r="V11" s="76">
        <f t="shared" si="10"/>
        <v>630236.07364864869</v>
      </c>
      <c r="W11" s="83"/>
      <c r="X11" s="83"/>
      <c r="Y11" s="83"/>
      <c r="Z11" s="83"/>
    </row>
    <row r="12" spans="1:26" ht="14.25" customHeight="1">
      <c r="A12" s="119" t="s">
        <v>107</v>
      </c>
      <c r="B12" s="76">
        <f t="shared" si="11"/>
        <v>141787.50102459016</v>
      </c>
      <c r="C12" s="70">
        <v>9.76</v>
      </c>
      <c r="D12" s="150">
        <v>1383846.01</v>
      </c>
      <c r="E12" s="72"/>
      <c r="F12" s="73">
        <f>(((2+1)/2)+2+1.5+((0.5+0.5)/2))/G12</f>
        <v>1.375</v>
      </c>
      <c r="G12" s="74">
        <v>4</v>
      </c>
      <c r="H12" s="75">
        <f t="shared" si="1"/>
        <v>194957.81390881148</v>
      </c>
      <c r="I12" s="76">
        <f t="shared" si="2"/>
        <v>779831.25563524594</v>
      </c>
      <c r="J12" s="77">
        <f t="shared" si="3"/>
        <v>779831.25563524594</v>
      </c>
      <c r="K12" s="78"/>
      <c r="L12" s="79">
        <f>(0+3+0.25+0+0+0.5+0)/M12</f>
        <v>0.5357142857142857</v>
      </c>
      <c r="M12" s="80">
        <v>7</v>
      </c>
      <c r="N12" s="81">
        <f t="shared" si="5"/>
        <v>75957.589834601866</v>
      </c>
      <c r="O12" s="76">
        <f t="shared" si="6"/>
        <v>531703.12884221307</v>
      </c>
      <c r="P12" s="136">
        <f t="shared" si="7"/>
        <v>531703.12884221307</v>
      </c>
      <c r="Q12" s="82"/>
      <c r="R12" s="79">
        <f>(0.1+0.3+0+0+0+((0.1+1)/2)+0+0.25+0+0.2+0.25+0.1+0.2+1+0.4+0.2)/S12</f>
        <v>0.22187500000000002</v>
      </c>
      <c r="S12" s="80">
        <v>16</v>
      </c>
      <c r="T12" s="81">
        <f t="shared" si="8"/>
        <v>31459.101789830944</v>
      </c>
      <c r="U12" s="76">
        <f t="shared" si="9"/>
        <v>503345.6286372951</v>
      </c>
      <c r="V12" s="76">
        <f t="shared" si="10"/>
        <v>817936.64653560449</v>
      </c>
      <c r="W12" s="83"/>
      <c r="X12" s="83"/>
      <c r="Y12" s="83"/>
      <c r="Z12" s="83"/>
    </row>
    <row r="13" spans="1:26" ht="14.25" customHeight="1">
      <c r="A13" s="119" t="s">
        <v>108</v>
      </c>
      <c r="B13" s="76">
        <f t="shared" si="11"/>
        <v>200547.41078066916</v>
      </c>
      <c r="C13" s="70">
        <v>5.38</v>
      </c>
      <c r="D13" s="150">
        <v>1078945.07</v>
      </c>
      <c r="E13" s="72"/>
      <c r="F13" s="73">
        <f>(((2+1)/2)+2+1+((0.5+0.5)/2))/G13</f>
        <v>1.25</v>
      </c>
      <c r="G13" s="74">
        <v>4</v>
      </c>
      <c r="H13" s="75">
        <f t="shared" si="1"/>
        <v>250684.26347583646</v>
      </c>
      <c r="I13" s="76">
        <f t="shared" si="2"/>
        <v>1002737.0539033458</v>
      </c>
      <c r="J13" s="77">
        <f t="shared" si="3"/>
        <v>1002737.0539033458</v>
      </c>
      <c r="K13" s="78"/>
      <c r="L13" s="79">
        <f>(0.25+1+0.1+0+0+0.5+0)/M13</f>
        <v>0.26428571428571429</v>
      </c>
      <c r="M13" s="80">
        <v>7</v>
      </c>
      <c r="N13" s="81">
        <f t="shared" si="5"/>
        <v>53001.815706319707</v>
      </c>
      <c r="O13" s="76">
        <f t="shared" si="6"/>
        <v>371012.70994423795</v>
      </c>
      <c r="P13" s="136">
        <f t="shared" si="7"/>
        <v>371012.70994423795</v>
      </c>
      <c r="Q13" s="82"/>
      <c r="R13" s="79">
        <f>(0+0.2+0+0+0+((0.1+0)/2)+0+0+0+0.1+0+0.1+0.2+0.2+0.1+0.1)/S13</f>
        <v>6.5624999999999989E-2</v>
      </c>
      <c r="S13" s="80">
        <v>16</v>
      </c>
      <c r="T13" s="81">
        <f t="shared" si="8"/>
        <v>13160.923832481412</v>
      </c>
      <c r="U13" s="76">
        <f t="shared" si="9"/>
        <v>210574.7813197026</v>
      </c>
      <c r="V13" s="76">
        <f t="shared" si="10"/>
        <v>342184.01964451669</v>
      </c>
      <c r="W13" s="83"/>
      <c r="X13" s="83"/>
      <c r="Y13" s="83"/>
      <c r="Z13" s="83"/>
    </row>
    <row r="14" spans="1:26" ht="14.25" customHeight="1">
      <c r="A14" s="119" t="s">
        <v>109</v>
      </c>
      <c r="B14" s="76">
        <f>D6/C6</f>
        <v>197461.15761935909</v>
      </c>
      <c r="C14" s="70" t="s">
        <v>102</v>
      </c>
      <c r="D14" s="77" t="s">
        <v>102</v>
      </c>
      <c r="E14" s="72"/>
      <c r="F14" s="73">
        <f>(((1+0.25)/2)+1+0+((0.2+0.1)/2))/G14</f>
        <v>0.44374999999999998</v>
      </c>
      <c r="G14" s="74">
        <v>4</v>
      </c>
      <c r="H14" s="75">
        <f t="shared" si="1"/>
        <v>87623.38869359059</v>
      </c>
      <c r="I14" s="76">
        <f t="shared" si="2"/>
        <v>350493.55477436236</v>
      </c>
      <c r="J14" s="77">
        <f t="shared" si="3"/>
        <v>350493.55477436236</v>
      </c>
      <c r="K14" s="78"/>
      <c r="L14" s="79">
        <f>(0.25+2+0.25+0+0+0.25+0)/M14</f>
        <v>0.39285714285714285</v>
      </c>
      <c r="M14" s="80">
        <v>7</v>
      </c>
      <c r="N14" s="81">
        <f t="shared" si="5"/>
        <v>77574.026207605348</v>
      </c>
      <c r="O14" s="76">
        <f t="shared" si="6"/>
        <v>543018.18345323741</v>
      </c>
      <c r="P14" s="136">
        <f t="shared" si="7"/>
        <v>543018.18345323741</v>
      </c>
      <c r="Q14" s="82"/>
      <c r="R14" s="79">
        <f>(0.1+0+0+0+0+((0+0)/2)+1+0+0+0+0+0+0.2+1+0.2+0.2)/S14</f>
        <v>0.16875000000000001</v>
      </c>
      <c r="S14" s="80">
        <v>16</v>
      </c>
      <c r="T14" s="81">
        <f t="shared" si="8"/>
        <v>33321.570348266847</v>
      </c>
      <c r="U14" s="76">
        <f t="shared" si="9"/>
        <v>533145.12557226955</v>
      </c>
      <c r="V14" s="76">
        <f t="shared" si="10"/>
        <v>866360.82905493805</v>
      </c>
      <c r="W14" s="83"/>
      <c r="X14" s="83"/>
      <c r="Y14" s="83"/>
      <c r="Z14" s="83"/>
    </row>
    <row r="15" spans="1:26" ht="14.25" customHeight="1">
      <c r="A15" s="122" t="s">
        <v>110</v>
      </c>
      <c r="B15" s="76">
        <f t="shared" ref="B15:B16" si="12">D15/C15</f>
        <v>222360.46836982967</v>
      </c>
      <c r="C15" s="85">
        <v>8.2200000000000006</v>
      </c>
      <c r="D15" s="149">
        <v>1827803.05</v>
      </c>
      <c r="E15" s="124"/>
      <c r="F15" s="73">
        <f>(((1+0.5)/2)+2+0+((0+0.1)/2))/G15</f>
        <v>0.7</v>
      </c>
      <c r="G15" s="74">
        <v>4</v>
      </c>
      <c r="H15" s="75">
        <f t="shared" si="1"/>
        <v>155652.32785888077</v>
      </c>
      <c r="I15" s="76">
        <f t="shared" si="2"/>
        <v>622609.31143552309</v>
      </c>
      <c r="J15" s="77">
        <f t="shared" si="3"/>
        <v>622609.31143552309</v>
      </c>
      <c r="K15" s="78"/>
      <c r="L15" s="79">
        <f>(0+0+0+0.5+0+0.5+0)/M15</f>
        <v>0.14285714285714285</v>
      </c>
      <c r="M15" s="80">
        <v>7</v>
      </c>
      <c r="N15" s="81">
        <f t="shared" si="5"/>
        <v>31765.781195689953</v>
      </c>
      <c r="O15" s="76">
        <f t="shared" si="6"/>
        <v>222360.46836982967</v>
      </c>
      <c r="P15" s="136">
        <f t="shared" si="7"/>
        <v>222360.46836982967</v>
      </c>
      <c r="Q15" s="82"/>
      <c r="R15" s="79">
        <f>(0+0+0+0+0+((0+0)/2)+0+0+0+0.1+0+0+0+0+0.1+0.1)/S15</f>
        <v>1.8750000000000003E-2</v>
      </c>
      <c r="S15" s="80">
        <v>16</v>
      </c>
      <c r="T15" s="81">
        <f t="shared" si="8"/>
        <v>4169.2587819343071</v>
      </c>
      <c r="U15" s="76">
        <f t="shared" si="9"/>
        <v>66708.140510948913</v>
      </c>
      <c r="V15" s="76">
        <f t="shared" si="10"/>
        <v>108400.72833029198</v>
      </c>
      <c r="W15" s="83"/>
      <c r="X15" s="83"/>
      <c r="Y15" s="83"/>
      <c r="Z15" s="83"/>
    </row>
    <row r="16" spans="1:26" ht="14.25" customHeight="1">
      <c r="A16" s="125" t="s">
        <v>111</v>
      </c>
      <c r="B16" s="95">
        <f t="shared" si="12"/>
        <v>245598.38376101109</v>
      </c>
      <c r="C16" s="90">
        <v>26.11</v>
      </c>
      <c r="D16" s="151">
        <v>6412573.7999999998</v>
      </c>
      <c r="E16" s="124"/>
      <c r="F16" s="73">
        <f>(((4+2)/2)+11+4+((5+1.5)/2))/G16</f>
        <v>5.3125</v>
      </c>
      <c r="G16" s="93">
        <v>4</v>
      </c>
      <c r="H16" s="94">
        <f t="shared" si="1"/>
        <v>1304741.4137303715</v>
      </c>
      <c r="I16" s="95">
        <f t="shared" si="2"/>
        <v>5218965.654921486</v>
      </c>
      <c r="J16" s="96">
        <f t="shared" si="3"/>
        <v>5218965.654921486</v>
      </c>
      <c r="K16" s="78"/>
      <c r="L16" s="79">
        <f>(0+0+0.5+0+0+1.5+0)/M16</f>
        <v>0.2857142857142857</v>
      </c>
      <c r="M16" s="80">
        <v>7</v>
      </c>
      <c r="N16" s="98">
        <f t="shared" si="5"/>
        <v>70170.966788860314</v>
      </c>
      <c r="O16" s="95">
        <f t="shared" si="6"/>
        <v>491196.76752202219</v>
      </c>
      <c r="P16" s="136">
        <f t="shared" si="7"/>
        <v>491196.76752202219</v>
      </c>
      <c r="Q16" s="82"/>
      <c r="R16" s="79">
        <f>(0+0+0+0+0.1+((0+0)/2)+0+0+0+0.1+0+0+0+1+0.3+0.1)/S16</f>
        <v>0.1</v>
      </c>
      <c r="S16" s="80">
        <v>16</v>
      </c>
      <c r="T16" s="81">
        <f t="shared" si="8"/>
        <v>24559.83837610111</v>
      </c>
      <c r="U16" s="76">
        <f t="shared" si="9"/>
        <v>392957.41401761776</v>
      </c>
      <c r="V16" s="76">
        <f t="shared" si="10"/>
        <v>638555.79777862888</v>
      </c>
      <c r="W16" s="83"/>
      <c r="X16" s="83"/>
      <c r="Y16" s="83"/>
      <c r="Z16" s="83"/>
    </row>
    <row r="17" spans="1:26" ht="14.25" customHeight="1">
      <c r="A17" s="99" t="s">
        <v>112</v>
      </c>
      <c r="B17" s="99"/>
      <c r="C17" s="129">
        <f t="shared" ref="C17:D17" si="13">SUM(C4:C16)</f>
        <v>96.11</v>
      </c>
      <c r="D17" s="107">
        <f t="shared" si="13"/>
        <v>20188775.82</v>
      </c>
      <c r="E17" s="134"/>
      <c r="F17" s="103">
        <f>SUM(F4:F16)</f>
        <v>14.5625</v>
      </c>
      <c r="G17" s="104"/>
      <c r="H17" s="106"/>
      <c r="I17" s="106">
        <f t="shared" ref="I17:J17" si="14">SUM(I4:I16)</f>
        <v>12084090.156648653</v>
      </c>
      <c r="J17" s="107">
        <f t="shared" si="14"/>
        <v>12084090.156648653</v>
      </c>
      <c r="K17" s="134"/>
      <c r="L17" s="103">
        <f>SUM(L4:L16)</f>
        <v>2.0857142857142854</v>
      </c>
      <c r="M17" s="104"/>
      <c r="N17" s="106"/>
      <c r="O17" s="106">
        <f t="shared" ref="O17:P17" si="15">SUM(O4:O16)</f>
        <v>2926801.2915167045</v>
      </c>
      <c r="P17" s="107">
        <f t="shared" si="15"/>
        <v>2926801.2915167045</v>
      </c>
      <c r="Q17" s="134"/>
      <c r="R17" s="103">
        <f>SUM(R4:R16)</f>
        <v>1.221875</v>
      </c>
      <c r="S17" s="104"/>
      <c r="T17" s="106"/>
      <c r="U17" s="106">
        <f t="shared" ref="U17:V17" si="16">SUM(U4:U16)</f>
        <v>3836410.9651178666</v>
      </c>
      <c r="V17" s="106">
        <f t="shared" si="16"/>
        <v>6234167.8183165332</v>
      </c>
      <c r="W17" s="83"/>
      <c r="X17" s="83"/>
      <c r="Y17" s="83"/>
      <c r="Z17" s="83"/>
    </row>
    <row r="18" spans="1:26" ht="14.25" customHeight="1">
      <c r="A18" s="131" t="s">
        <v>139</v>
      </c>
    </row>
    <row r="19" spans="1:26" ht="14.25" customHeight="1">
      <c r="A19" s="112" t="s">
        <v>140</v>
      </c>
    </row>
    <row r="20" spans="1:26" ht="14.25" customHeight="1"/>
    <row r="21" spans="1:26" ht="14.25" customHeight="1">
      <c r="B21" s="113" t="s">
        <v>115</v>
      </c>
      <c r="C21" s="113" t="s">
        <v>116</v>
      </c>
    </row>
    <row r="22" spans="1:26" ht="14.25" customHeight="1">
      <c r="B22" s="113" t="s">
        <v>117</v>
      </c>
      <c r="C22" s="113" t="s">
        <v>118</v>
      </c>
    </row>
    <row r="23" spans="1:26" ht="14.25" customHeight="1">
      <c r="B23" s="113" t="s">
        <v>119</v>
      </c>
      <c r="C23" s="113" t="s">
        <v>120</v>
      </c>
    </row>
    <row r="24" spans="1:26" ht="14.25" customHeight="1">
      <c r="B24" s="113" t="s">
        <v>121</v>
      </c>
      <c r="C24" s="113" t="s">
        <v>122</v>
      </c>
    </row>
    <row r="25" spans="1:26" ht="14.25" customHeight="1">
      <c r="B25" s="113" t="s">
        <v>123</v>
      </c>
      <c r="C25" s="113" t="s">
        <v>124</v>
      </c>
    </row>
    <row r="26" spans="1:26" ht="14.25" customHeight="1">
      <c r="B26" s="113" t="s">
        <v>125</v>
      </c>
      <c r="C26" s="113" t="s">
        <v>126</v>
      </c>
    </row>
    <row r="27" spans="1:26" ht="14.25" customHeight="1"/>
    <row r="28" spans="1:26" ht="14.25" customHeight="1"/>
    <row r="29" spans="1:26" ht="14.25" customHeight="1"/>
    <row r="30" spans="1:26" ht="14.25" customHeight="1"/>
    <row r="31" spans="1:26" ht="14.25" customHeight="1"/>
    <row r="32" spans="1:2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2:B2"/>
    <mergeCell ref="F2:J2"/>
    <mergeCell ref="L2:P2"/>
    <mergeCell ref="R2:V2"/>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4.453125" defaultRowHeight="15" customHeight="1"/>
  <cols>
    <col min="1" max="1" width="16" customWidth="1"/>
    <col min="2" max="2" width="11.7265625" customWidth="1"/>
    <col min="3" max="3" width="8.7265625" customWidth="1"/>
    <col min="4" max="4" width="16.453125" customWidth="1"/>
    <col min="5" max="5" width="14.453125" customWidth="1"/>
    <col min="6" max="6" width="13.26953125" customWidth="1"/>
    <col min="7" max="7" width="11.7265625" customWidth="1"/>
    <col min="8" max="9" width="8.7265625" customWidth="1"/>
    <col min="10" max="10" width="14.7265625" customWidth="1"/>
    <col min="11" max="11" width="11.26953125" customWidth="1"/>
    <col min="12" max="26" width="8.7265625" customWidth="1"/>
  </cols>
  <sheetData>
    <row r="1" spans="1:26" ht="14.25" customHeight="1">
      <c r="A1" s="14" t="s">
        <v>152</v>
      </c>
    </row>
    <row r="2" spans="1:26" ht="14.25" customHeight="1"/>
    <row r="3" spans="1:26" ht="28.5" customHeight="1">
      <c r="A3" s="152" t="s">
        <v>153</v>
      </c>
      <c r="B3" s="152" t="s">
        <v>154</v>
      </c>
      <c r="C3" s="152" t="s">
        <v>155</v>
      </c>
      <c r="D3" s="153" t="s">
        <v>156</v>
      </c>
      <c r="E3" s="153" t="s">
        <v>157</v>
      </c>
      <c r="F3" s="152"/>
      <c r="G3" s="152"/>
      <c r="H3" s="152"/>
      <c r="I3" s="152"/>
      <c r="J3" s="152"/>
      <c r="K3" s="152"/>
      <c r="L3" s="152"/>
      <c r="M3" s="152"/>
      <c r="N3" s="152"/>
      <c r="O3" s="152"/>
      <c r="P3" s="152"/>
      <c r="Q3" s="152"/>
      <c r="R3" s="152"/>
      <c r="S3" s="152"/>
      <c r="T3" s="152"/>
      <c r="U3" s="152"/>
      <c r="V3" s="152"/>
      <c r="W3" s="152"/>
      <c r="X3" s="152"/>
      <c r="Y3" s="152"/>
      <c r="Z3" s="152"/>
    </row>
    <row r="4" spans="1:26" ht="14.25" customHeight="1">
      <c r="A4" s="15" t="s">
        <v>158</v>
      </c>
      <c r="B4" s="154">
        <v>42180</v>
      </c>
      <c r="C4" s="15" t="s">
        <v>159</v>
      </c>
      <c r="D4" s="15">
        <v>9</v>
      </c>
      <c r="E4" s="15">
        <v>12</v>
      </c>
      <c r="J4" s="15" t="s">
        <v>160</v>
      </c>
    </row>
    <row r="5" spans="1:26" ht="14.25" customHeight="1">
      <c r="A5" s="15" t="s">
        <v>161</v>
      </c>
      <c r="B5" s="154">
        <v>42038</v>
      </c>
      <c r="C5" s="15" t="s">
        <v>162</v>
      </c>
      <c r="D5" s="15">
        <v>-3</v>
      </c>
      <c r="E5" s="15">
        <v>0</v>
      </c>
      <c r="J5" s="15" t="s">
        <v>163</v>
      </c>
    </row>
    <row r="6" spans="1:26" ht="14.25" customHeight="1">
      <c r="A6" s="15" t="s">
        <v>164</v>
      </c>
      <c r="B6" s="154">
        <v>42024</v>
      </c>
      <c r="C6" s="15" t="s">
        <v>165</v>
      </c>
      <c r="D6" s="15">
        <v>3</v>
      </c>
      <c r="E6" s="15">
        <v>6</v>
      </c>
      <c r="K6" s="15" t="s">
        <v>166</v>
      </c>
      <c r="L6" s="15" t="s">
        <v>165</v>
      </c>
      <c r="N6" s="15">
        <v>18</v>
      </c>
    </row>
    <row r="7" spans="1:26" ht="14.25" customHeight="1">
      <c r="A7" s="15" t="s">
        <v>167</v>
      </c>
      <c r="B7" s="154">
        <v>41990</v>
      </c>
      <c r="C7" s="15" t="s">
        <v>162</v>
      </c>
      <c r="D7" s="15">
        <v>21</v>
      </c>
      <c r="E7" s="15">
        <v>24</v>
      </c>
      <c r="K7" s="15" t="s">
        <v>166</v>
      </c>
      <c r="L7" s="15" t="s">
        <v>165</v>
      </c>
      <c r="N7" s="15">
        <v>36</v>
      </c>
    </row>
    <row r="8" spans="1:26" ht="14.25" customHeight="1">
      <c r="A8" s="15" t="s">
        <v>168</v>
      </c>
      <c r="B8" s="154">
        <v>41984</v>
      </c>
      <c r="C8" s="15" t="s">
        <v>159</v>
      </c>
      <c r="D8" s="15">
        <v>9</v>
      </c>
      <c r="E8" s="15">
        <v>12</v>
      </c>
      <c r="K8" s="15" t="s">
        <v>166</v>
      </c>
      <c r="L8" s="15" t="s">
        <v>165</v>
      </c>
      <c r="N8" s="15">
        <v>42</v>
      </c>
    </row>
    <row r="9" spans="1:26" ht="14.25" customHeight="1">
      <c r="A9" s="15" t="s">
        <v>169</v>
      </c>
      <c r="B9" s="154">
        <v>41977</v>
      </c>
      <c r="C9" s="15" t="s">
        <v>162</v>
      </c>
      <c r="D9" s="15">
        <v>0</v>
      </c>
      <c r="E9" s="15">
        <v>3</v>
      </c>
      <c r="K9" s="15" t="s">
        <v>166</v>
      </c>
      <c r="L9" s="15" t="s">
        <v>165</v>
      </c>
      <c r="N9" s="15">
        <v>4.5</v>
      </c>
    </row>
    <row r="10" spans="1:26" ht="14.25" customHeight="1">
      <c r="A10" s="15" t="s">
        <v>170</v>
      </c>
      <c r="B10" s="154">
        <v>41968</v>
      </c>
      <c r="C10" s="15" t="s">
        <v>162</v>
      </c>
      <c r="D10" s="15">
        <v>-3</v>
      </c>
      <c r="E10" s="15">
        <v>0</v>
      </c>
      <c r="K10" s="15" t="s">
        <v>166</v>
      </c>
      <c r="L10" s="15" t="s">
        <v>165</v>
      </c>
      <c r="N10" s="15">
        <v>6</v>
      </c>
    </row>
    <row r="11" spans="1:26" ht="14.25" customHeight="1">
      <c r="A11" s="15" t="s">
        <v>171</v>
      </c>
      <c r="B11" s="154">
        <v>41941</v>
      </c>
      <c r="C11" s="15" t="s">
        <v>159</v>
      </c>
      <c r="D11" s="15">
        <v>0</v>
      </c>
      <c r="E11" s="15">
        <v>3</v>
      </c>
      <c r="K11" s="15" t="s">
        <v>166</v>
      </c>
      <c r="L11" s="15" t="s">
        <v>162</v>
      </c>
      <c r="N11" s="15">
        <v>24</v>
      </c>
    </row>
    <row r="12" spans="1:26" ht="14.25" customHeight="1">
      <c r="A12" s="15" t="s">
        <v>172</v>
      </c>
      <c r="B12" s="154">
        <v>41941</v>
      </c>
      <c r="C12" s="15" t="s">
        <v>159</v>
      </c>
      <c r="D12" s="15">
        <v>9</v>
      </c>
      <c r="E12" s="15">
        <v>12</v>
      </c>
      <c r="K12" s="15" t="s">
        <v>166</v>
      </c>
      <c r="L12" s="15" t="s">
        <v>162</v>
      </c>
      <c r="N12" s="15">
        <v>5</v>
      </c>
    </row>
    <row r="13" spans="1:26" ht="14.25" customHeight="1">
      <c r="A13" s="15" t="s">
        <v>173</v>
      </c>
      <c r="B13" s="154">
        <v>41908</v>
      </c>
      <c r="C13" s="15" t="s">
        <v>162</v>
      </c>
      <c r="D13" s="15">
        <v>3</v>
      </c>
      <c r="E13" s="15">
        <v>6</v>
      </c>
      <c r="K13" s="15" t="s">
        <v>166</v>
      </c>
      <c r="L13" s="15" t="s">
        <v>162</v>
      </c>
      <c r="N13" s="15">
        <v>14.5</v>
      </c>
    </row>
    <row r="14" spans="1:26" ht="14.25" customHeight="1">
      <c r="A14" s="15" t="s">
        <v>174</v>
      </c>
      <c r="B14" s="154">
        <v>41907</v>
      </c>
      <c r="C14" s="15" t="s">
        <v>162</v>
      </c>
      <c r="D14" s="15">
        <v>9</v>
      </c>
      <c r="E14" s="15">
        <v>12</v>
      </c>
      <c r="K14" s="15" t="s">
        <v>166</v>
      </c>
      <c r="L14" s="15" t="s">
        <v>159</v>
      </c>
      <c r="N14" s="15">
        <v>9</v>
      </c>
    </row>
    <row r="15" spans="1:26" ht="14.25" customHeight="1">
      <c r="A15" s="15" t="s">
        <v>175</v>
      </c>
      <c r="B15" s="154">
        <v>41906</v>
      </c>
      <c r="C15" s="15" t="s">
        <v>159</v>
      </c>
      <c r="D15" s="15">
        <v>9</v>
      </c>
      <c r="E15" s="15">
        <v>12</v>
      </c>
      <c r="F15" s="15" t="s">
        <v>176</v>
      </c>
      <c r="G15" s="15" t="s">
        <v>177</v>
      </c>
      <c r="K15" s="15" t="s">
        <v>166</v>
      </c>
      <c r="L15" s="15" t="s">
        <v>159</v>
      </c>
      <c r="N15" s="15">
        <v>5</v>
      </c>
    </row>
    <row r="16" spans="1:26" ht="14.25" customHeight="1">
      <c r="A16" s="14" t="s">
        <v>178</v>
      </c>
      <c r="C16" s="15" t="s">
        <v>179</v>
      </c>
      <c r="E16" s="15">
        <v>102</v>
      </c>
      <c r="F16" s="155">
        <f t="shared" ref="F16:F18" si="0">E16/12</f>
        <v>8.5</v>
      </c>
      <c r="G16" s="156">
        <f>F16*B18</f>
        <v>1444175.5</v>
      </c>
      <c r="K16" s="15" t="s">
        <v>166</v>
      </c>
      <c r="L16" s="15" t="s">
        <v>159</v>
      </c>
      <c r="N16" s="15">
        <v>7</v>
      </c>
    </row>
    <row r="17" spans="1:14" ht="14.25" customHeight="1">
      <c r="A17" s="157" t="s">
        <v>180</v>
      </c>
      <c r="B17" s="3">
        <v>65</v>
      </c>
      <c r="C17" s="15" t="s">
        <v>181</v>
      </c>
      <c r="D17" s="155">
        <f>AVERAGE(E4:E15)</f>
        <v>8.5</v>
      </c>
      <c r="E17" s="155">
        <f>(D17*B17)</f>
        <v>552.5</v>
      </c>
      <c r="F17" s="155">
        <f t="shared" si="0"/>
        <v>46.041666666666664</v>
      </c>
      <c r="G17" s="156">
        <f>F17*B18</f>
        <v>7822617.291666666</v>
      </c>
    </row>
    <row r="18" spans="1:14" ht="14.25" customHeight="1">
      <c r="A18" s="157" t="s">
        <v>182</v>
      </c>
      <c r="B18" s="156">
        <v>169903</v>
      </c>
      <c r="C18" s="15" t="s">
        <v>183</v>
      </c>
      <c r="E18" s="3">
        <f>E16/B17</f>
        <v>1.5692307692307692</v>
      </c>
      <c r="F18" s="15">
        <f t="shared" si="0"/>
        <v>0.13076923076923078</v>
      </c>
      <c r="G18" s="156">
        <f>F18*B18</f>
        <v>22218.084615384618</v>
      </c>
    </row>
    <row r="19" spans="1:14" ht="14.25" customHeight="1">
      <c r="K19" s="15" t="s">
        <v>184</v>
      </c>
      <c r="L19" s="15" t="s">
        <v>165</v>
      </c>
      <c r="M19" s="15">
        <v>3</v>
      </c>
      <c r="N19" s="15">
        <v>6</v>
      </c>
    </row>
    <row r="20" spans="1:14" ht="14.25" customHeight="1">
      <c r="A20" s="15" t="s">
        <v>185</v>
      </c>
      <c r="B20" s="154">
        <v>42586</v>
      </c>
      <c r="C20" s="15" t="s">
        <v>165</v>
      </c>
      <c r="D20" s="15">
        <v>21</v>
      </c>
      <c r="E20" s="15">
        <v>24</v>
      </c>
      <c r="K20" s="15" t="s">
        <v>184</v>
      </c>
      <c r="L20" s="15" t="s">
        <v>159</v>
      </c>
      <c r="M20" s="15">
        <v>3</v>
      </c>
      <c r="N20" s="15">
        <v>6</v>
      </c>
    </row>
    <row r="21" spans="1:14" ht="14.25" customHeight="1">
      <c r="A21" s="15" t="s">
        <v>186</v>
      </c>
      <c r="B21" s="154">
        <v>42579</v>
      </c>
      <c r="C21" s="15" t="s">
        <v>165</v>
      </c>
      <c r="D21" s="15">
        <v>3</v>
      </c>
      <c r="E21" s="15">
        <v>6</v>
      </c>
      <c r="K21" s="15" t="s">
        <v>184</v>
      </c>
      <c r="L21" s="15" t="s">
        <v>159</v>
      </c>
      <c r="M21" s="15">
        <v>21</v>
      </c>
      <c r="N21" s="15">
        <v>24</v>
      </c>
    </row>
    <row r="22" spans="1:14" ht="14.25" customHeight="1">
      <c r="A22" s="15" t="s">
        <v>187</v>
      </c>
      <c r="B22" s="154">
        <v>42530</v>
      </c>
      <c r="C22" s="15" t="s">
        <v>165</v>
      </c>
      <c r="D22" s="15">
        <v>21</v>
      </c>
      <c r="E22" s="15">
        <v>24</v>
      </c>
      <c r="K22" s="15" t="s">
        <v>184</v>
      </c>
      <c r="L22" s="15" t="s">
        <v>159</v>
      </c>
      <c r="M22" s="15">
        <v>21</v>
      </c>
      <c r="N22" s="15">
        <v>24</v>
      </c>
    </row>
    <row r="23" spans="1:14" ht="14.25" customHeight="1">
      <c r="A23" s="15" t="s">
        <v>188</v>
      </c>
      <c r="B23" s="154">
        <v>42530</v>
      </c>
      <c r="C23" s="15" t="s">
        <v>165</v>
      </c>
      <c r="D23" s="15">
        <v>0</v>
      </c>
      <c r="E23" s="15">
        <v>3</v>
      </c>
      <c r="K23" s="15" t="s">
        <v>184</v>
      </c>
      <c r="L23" s="15" t="s">
        <v>162</v>
      </c>
      <c r="M23" s="15">
        <v>-3</v>
      </c>
      <c r="N23" s="15">
        <v>0</v>
      </c>
    </row>
    <row r="24" spans="1:14" ht="14.25" customHeight="1">
      <c r="A24" s="15" t="s">
        <v>189</v>
      </c>
      <c r="B24" s="154">
        <v>42509</v>
      </c>
      <c r="C24" s="15" t="s">
        <v>159</v>
      </c>
      <c r="D24" s="15">
        <v>9</v>
      </c>
      <c r="E24" s="15">
        <v>12</v>
      </c>
      <c r="K24" s="15" t="s">
        <v>184</v>
      </c>
      <c r="L24" s="15" t="s">
        <v>162</v>
      </c>
      <c r="M24" s="15">
        <v>9</v>
      </c>
      <c r="N24" s="15">
        <v>12</v>
      </c>
    </row>
    <row r="25" spans="1:14" ht="14.25" customHeight="1">
      <c r="A25" s="15" t="s">
        <v>190</v>
      </c>
      <c r="B25" s="154">
        <v>42509</v>
      </c>
      <c r="C25" s="15" t="s">
        <v>162</v>
      </c>
      <c r="D25" s="15">
        <v>11</v>
      </c>
      <c r="E25" s="15">
        <v>14</v>
      </c>
    </row>
    <row r="26" spans="1:14" ht="14.25" customHeight="1">
      <c r="A26" s="15" t="s">
        <v>191</v>
      </c>
      <c r="B26" s="154">
        <v>42507</v>
      </c>
      <c r="C26" s="15" t="s">
        <v>159</v>
      </c>
      <c r="D26" s="15">
        <v>21</v>
      </c>
      <c r="E26" s="15">
        <v>24</v>
      </c>
      <c r="J26" s="15" t="s">
        <v>192</v>
      </c>
    </row>
    <row r="27" spans="1:14" ht="14.25" customHeight="1">
      <c r="A27" s="15" t="s">
        <v>193</v>
      </c>
      <c r="B27" s="154">
        <v>42501</v>
      </c>
      <c r="C27" s="15" t="s">
        <v>159</v>
      </c>
      <c r="D27" s="15">
        <v>21</v>
      </c>
      <c r="E27" s="15">
        <v>24</v>
      </c>
      <c r="J27" s="15" t="s">
        <v>194</v>
      </c>
      <c r="K27" s="154">
        <v>43087</v>
      </c>
      <c r="L27" s="15" t="s">
        <v>159</v>
      </c>
      <c r="N27" s="15">
        <v>9</v>
      </c>
    </row>
    <row r="28" spans="1:14" ht="14.25" customHeight="1">
      <c r="A28" s="15" t="s">
        <v>195</v>
      </c>
      <c r="B28" s="154">
        <v>42499</v>
      </c>
      <c r="C28" s="15" t="s">
        <v>165</v>
      </c>
      <c r="D28" s="15">
        <v>21</v>
      </c>
      <c r="E28" s="15">
        <v>24</v>
      </c>
      <c r="J28" s="15" t="s">
        <v>196</v>
      </c>
      <c r="K28" s="154">
        <v>43070</v>
      </c>
      <c r="L28" s="15" t="s">
        <v>159</v>
      </c>
      <c r="N28" s="15">
        <v>6</v>
      </c>
    </row>
    <row r="29" spans="1:14" ht="14.25" customHeight="1">
      <c r="A29" s="15" t="s">
        <v>197</v>
      </c>
      <c r="B29" s="154">
        <v>42494</v>
      </c>
      <c r="C29" s="15" t="s">
        <v>165</v>
      </c>
      <c r="D29" s="15">
        <v>3</v>
      </c>
      <c r="E29" s="15">
        <v>6</v>
      </c>
      <c r="J29" s="15" t="s">
        <v>198</v>
      </c>
      <c r="K29" s="154">
        <v>43046</v>
      </c>
      <c r="L29" s="15" t="s">
        <v>162</v>
      </c>
      <c r="N29" s="15">
        <v>24</v>
      </c>
    </row>
    <row r="30" spans="1:14" ht="14.25" customHeight="1">
      <c r="A30" s="15" t="s">
        <v>199</v>
      </c>
      <c r="B30" s="154">
        <v>42494</v>
      </c>
      <c r="C30" s="15" t="s">
        <v>162</v>
      </c>
      <c r="D30" s="15">
        <v>21</v>
      </c>
      <c r="E30" s="15">
        <v>24</v>
      </c>
      <c r="J30" s="15" t="s">
        <v>200</v>
      </c>
      <c r="K30" s="154">
        <v>43046</v>
      </c>
      <c r="L30" s="15" t="s">
        <v>162</v>
      </c>
      <c r="N30" s="15">
        <v>5</v>
      </c>
    </row>
    <row r="31" spans="1:14" ht="14.25" customHeight="1">
      <c r="A31" s="15" t="s">
        <v>201</v>
      </c>
      <c r="B31" s="154">
        <v>42468</v>
      </c>
      <c r="C31" s="15" t="s">
        <v>159</v>
      </c>
      <c r="D31" s="15">
        <v>10.199999999999999</v>
      </c>
      <c r="E31" s="15">
        <v>13.2</v>
      </c>
      <c r="J31" s="15" t="s">
        <v>202</v>
      </c>
      <c r="K31" s="154">
        <v>43003</v>
      </c>
      <c r="L31" s="15" t="s">
        <v>159</v>
      </c>
      <c r="N31" s="15">
        <v>12</v>
      </c>
    </row>
    <row r="32" spans="1:14" ht="14.25" customHeight="1">
      <c r="A32" s="15" t="s">
        <v>203</v>
      </c>
      <c r="B32" s="154">
        <v>42466</v>
      </c>
      <c r="C32" s="15" t="s">
        <v>159</v>
      </c>
      <c r="D32" s="15">
        <v>21</v>
      </c>
      <c r="E32" s="15">
        <v>24</v>
      </c>
    </row>
    <row r="33" spans="1:12" ht="14.25" customHeight="1">
      <c r="A33" s="15" t="s">
        <v>204</v>
      </c>
      <c r="B33" s="154">
        <v>42466</v>
      </c>
      <c r="C33" s="15" t="s">
        <v>162</v>
      </c>
      <c r="D33" s="15">
        <v>12</v>
      </c>
      <c r="E33" s="15">
        <v>15</v>
      </c>
    </row>
    <row r="34" spans="1:12" ht="14.25" customHeight="1">
      <c r="A34" s="15" t="s">
        <v>205</v>
      </c>
      <c r="B34" s="154">
        <v>42465</v>
      </c>
      <c r="C34" s="15" t="s">
        <v>159</v>
      </c>
      <c r="D34" s="15">
        <v>15</v>
      </c>
      <c r="E34" s="15">
        <v>18</v>
      </c>
    </row>
    <row r="35" spans="1:12" ht="14.25" customHeight="1">
      <c r="A35" s="15" t="s">
        <v>206</v>
      </c>
      <c r="B35" s="154">
        <v>42460</v>
      </c>
      <c r="C35" s="15" t="s">
        <v>162</v>
      </c>
      <c r="D35" s="15">
        <v>-3</v>
      </c>
      <c r="E35" s="15">
        <v>0</v>
      </c>
      <c r="J35" s="158" t="s">
        <v>207</v>
      </c>
      <c r="K35" s="159"/>
      <c r="L35" s="159"/>
    </row>
    <row r="36" spans="1:12" ht="14.25" customHeight="1">
      <c r="A36" s="15" t="s">
        <v>208</v>
      </c>
      <c r="B36" s="154">
        <v>42458</v>
      </c>
      <c r="C36" s="15" t="s">
        <v>162</v>
      </c>
      <c r="D36" s="15">
        <v>21</v>
      </c>
      <c r="E36" s="15">
        <v>24</v>
      </c>
      <c r="J36" s="158" t="s">
        <v>209</v>
      </c>
      <c r="K36" s="159"/>
      <c r="L36" s="159"/>
    </row>
    <row r="37" spans="1:12" ht="14.25" customHeight="1">
      <c r="A37" s="15" t="s">
        <v>210</v>
      </c>
      <c r="B37" s="154">
        <v>42405</v>
      </c>
      <c r="C37" s="15" t="s">
        <v>165</v>
      </c>
      <c r="D37" s="15">
        <v>9</v>
      </c>
      <c r="E37" s="15">
        <v>12</v>
      </c>
      <c r="J37" s="158" t="s">
        <v>211</v>
      </c>
      <c r="K37" s="159"/>
      <c r="L37" s="159"/>
    </row>
    <row r="38" spans="1:12" ht="14.25" customHeight="1">
      <c r="A38" s="15" t="s">
        <v>212</v>
      </c>
      <c r="B38" s="154">
        <v>42398</v>
      </c>
      <c r="C38" s="15" t="s">
        <v>165</v>
      </c>
      <c r="D38" s="15">
        <v>21</v>
      </c>
      <c r="E38" s="15">
        <v>24</v>
      </c>
    </row>
    <row r="39" spans="1:12" ht="14.25" customHeight="1">
      <c r="A39" s="15" t="s">
        <v>213</v>
      </c>
      <c r="B39" s="154">
        <v>42331</v>
      </c>
      <c r="C39" s="15" t="s">
        <v>165</v>
      </c>
      <c r="D39" s="15">
        <v>21</v>
      </c>
      <c r="E39" s="15">
        <v>24</v>
      </c>
    </row>
    <row r="40" spans="1:12" ht="14.25" customHeight="1">
      <c r="A40" s="15" t="s">
        <v>214</v>
      </c>
      <c r="B40" s="154">
        <v>42311</v>
      </c>
      <c r="C40" s="15" t="s">
        <v>165</v>
      </c>
      <c r="D40" s="15">
        <v>21</v>
      </c>
      <c r="E40" s="15">
        <v>24</v>
      </c>
      <c r="J40" s="160"/>
    </row>
    <row r="41" spans="1:12" ht="14.25" customHeight="1">
      <c r="A41" s="15" t="s">
        <v>215</v>
      </c>
      <c r="B41" s="154">
        <v>42307</v>
      </c>
      <c r="C41" s="15" t="s">
        <v>165</v>
      </c>
      <c r="D41" s="15">
        <v>21</v>
      </c>
      <c r="E41" s="15">
        <v>24</v>
      </c>
      <c r="J41" s="161" t="s">
        <v>216</v>
      </c>
    </row>
    <row r="42" spans="1:12" ht="14.25" customHeight="1">
      <c r="A42" s="15" t="s">
        <v>217</v>
      </c>
      <c r="B42" s="154">
        <v>42303</v>
      </c>
      <c r="C42" s="15" t="s">
        <v>165</v>
      </c>
      <c r="D42" s="15">
        <v>3</v>
      </c>
      <c r="E42" s="15">
        <v>6</v>
      </c>
      <c r="J42" s="4" t="s">
        <v>218</v>
      </c>
    </row>
    <row r="43" spans="1:12" ht="14.25" customHeight="1">
      <c r="A43" s="15" t="s">
        <v>219</v>
      </c>
      <c r="B43" s="154">
        <v>42271</v>
      </c>
      <c r="C43" s="15" t="s">
        <v>162</v>
      </c>
      <c r="D43" s="15">
        <v>21</v>
      </c>
      <c r="E43" s="15">
        <v>24</v>
      </c>
      <c r="F43" s="15" t="s">
        <v>176</v>
      </c>
      <c r="G43" s="15" t="s">
        <v>177</v>
      </c>
      <c r="J43" s="161" t="s">
        <v>220</v>
      </c>
    </row>
    <row r="44" spans="1:12" ht="14.25" customHeight="1">
      <c r="A44" s="14" t="s">
        <v>221</v>
      </c>
      <c r="C44" s="15" t="s">
        <v>179</v>
      </c>
      <c r="E44" s="15">
        <v>417.2</v>
      </c>
      <c r="F44" s="155">
        <f t="shared" ref="F44:F46" si="1">E44/12</f>
        <v>34.766666666666666</v>
      </c>
      <c r="G44" s="156">
        <f>F44*B46</f>
        <v>6066088</v>
      </c>
      <c r="J44" s="4" t="s">
        <v>222</v>
      </c>
    </row>
    <row r="45" spans="1:12" ht="14.25" customHeight="1">
      <c r="A45" s="157" t="s">
        <v>223</v>
      </c>
      <c r="B45" s="3">
        <v>59</v>
      </c>
      <c r="C45" s="15" t="s">
        <v>181</v>
      </c>
      <c r="D45" s="155">
        <f>AVERAGE(E20:E43)</f>
        <v>17.383333333333333</v>
      </c>
      <c r="E45" s="155">
        <f>(D45*B45)</f>
        <v>1025.6166666666666</v>
      </c>
      <c r="F45" s="155">
        <f t="shared" si="1"/>
        <v>85.468055555555551</v>
      </c>
      <c r="G45" s="156">
        <f>F45*B46</f>
        <v>14912466.333333332</v>
      </c>
      <c r="J45" s="162" t="s">
        <v>224</v>
      </c>
    </row>
    <row r="46" spans="1:12" ht="14.25" customHeight="1">
      <c r="A46" s="157" t="s">
        <v>225</v>
      </c>
      <c r="B46" s="156">
        <v>174480</v>
      </c>
      <c r="C46" s="15" t="s">
        <v>183</v>
      </c>
      <c r="E46" s="3">
        <f>E44/B45</f>
        <v>7.0711864406779661</v>
      </c>
      <c r="F46" s="15">
        <f t="shared" si="1"/>
        <v>0.58926553672316384</v>
      </c>
      <c r="G46" s="156">
        <f>F46*B46</f>
        <v>102815.05084745762</v>
      </c>
      <c r="J46" s="161" t="s">
        <v>226</v>
      </c>
    </row>
    <row r="47" spans="1:12" ht="14.25" customHeight="1">
      <c r="J47" s="161" t="s">
        <v>227</v>
      </c>
    </row>
    <row r="48" spans="1:12" ht="14.25" customHeight="1">
      <c r="A48" s="15" t="s">
        <v>228</v>
      </c>
      <c r="B48" s="154">
        <v>42970</v>
      </c>
      <c r="C48" s="15" t="s">
        <v>159</v>
      </c>
      <c r="D48" s="15">
        <v>3</v>
      </c>
      <c r="E48" s="15">
        <v>6</v>
      </c>
      <c r="J48" s="161" t="s">
        <v>229</v>
      </c>
    </row>
    <row r="49" spans="1:10" ht="14.25" customHeight="1">
      <c r="A49" s="15" t="s">
        <v>230</v>
      </c>
      <c r="B49" s="154">
        <v>42969</v>
      </c>
      <c r="C49" s="15" t="s">
        <v>159</v>
      </c>
      <c r="D49" s="15">
        <v>21</v>
      </c>
      <c r="E49" s="15">
        <v>24</v>
      </c>
      <c r="J49" s="4" t="s">
        <v>231</v>
      </c>
    </row>
    <row r="50" spans="1:10" ht="14.25" customHeight="1">
      <c r="A50" s="15" t="s">
        <v>232</v>
      </c>
      <c r="B50" s="154">
        <v>42965</v>
      </c>
      <c r="C50" s="15" t="s">
        <v>162</v>
      </c>
      <c r="D50" s="15">
        <v>-3</v>
      </c>
      <c r="E50" s="15">
        <v>0</v>
      </c>
      <c r="J50" s="161" t="s">
        <v>233</v>
      </c>
    </row>
    <row r="51" spans="1:10" ht="14.25" customHeight="1">
      <c r="A51" s="15" t="s">
        <v>234</v>
      </c>
      <c r="B51" s="154">
        <v>42954</v>
      </c>
      <c r="C51" s="15" t="s">
        <v>159</v>
      </c>
      <c r="D51" s="15">
        <v>21</v>
      </c>
      <c r="E51" s="15">
        <v>24</v>
      </c>
      <c r="J51" s="161" t="s">
        <v>235</v>
      </c>
    </row>
    <row r="52" spans="1:10" ht="14.25" customHeight="1">
      <c r="A52" s="15" t="s">
        <v>236</v>
      </c>
      <c r="B52" s="154">
        <v>42951</v>
      </c>
      <c r="C52" s="15" t="s">
        <v>159</v>
      </c>
      <c r="D52" s="15">
        <v>3</v>
      </c>
      <c r="E52" s="15">
        <v>6</v>
      </c>
      <c r="J52" s="161" t="s">
        <v>237</v>
      </c>
    </row>
    <row r="53" spans="1:10" ht="14.25" customHeight="1">
      <c r="A53" s="15" t="s">
        <v>238</v>
      </c>
      <c r="B53" s="154">
        <v>42951</v>
      </c>
      <c r="C53" s="15" t="s">
        <v>162</v>
      </c>
      <c r="D53" s="15">
        <v>9</v>
      </c>
      <c r="E53" s="15">
        <v>12</v>
      </c>
      <c r="J53" s="161" t="s">
        <v>239</v>
      </c>
    </row>
    <row r="54" spans="1:10" ht="14.25" customHeight="1">
      <c r="A54" s="15" t="s">
        <v>240</v>
      </c>
      <c r="B54" s="154">
        <v>42919</v>
      </c>
      <c r="C54" s="15" t="s">
        <v>165</v>
      </c>
      <c r="D54" s="15">
        <v>3</v>
      </c>
      <c r="E54" s="15">
        <v>6</v>
      </c>
      <c r="J54" s="161" t="s">
        <v>198</v>
      </c>
    </row>
    <row r="55" spans="1:10" ht="14.25" customHeight="1">
      <c r="A55" s="15" t="s">
        <v>241</v>
      </c>
      <c r="B55" s="154">
        <v>42900</v>
      </c>
      <c r="C55" s="15" t="s">
        <v>162</v>
      </c>
      <c r="D55" s="15">
        <v>2</v>
      </c>
      <c r="E55" s="15">
        <v>5</v>
      </c>
      <c r="J55" s="161" t="s">
        <v>194</v>
      </c>
    </row>
    <row r="56" spans="1:10" ht="14.25" customHeight="1">
      <c r="A56" s="15" t="s">
        <v>242</v>
      </c>
      <c r="B56" s="154">
        <v>42899</v>
      </c>
      <c r="C56" s="15" t="s">
        <v>159</v>
      </c>
      <c r="D56" s="15">
        <v>2</v>
      </c>
      <c r="E56" s="15">
        <v>5</v>
      </c>
      <c r="J56" s="161" t="s">
        <v>243</v>
      </c>
    </row>
    <row r="57" spans="1:10" ht="14.25" customHeight="1">
      <c r="A57" s="15" t="s">
        <v>244</v>
      </c>
      <c r="B57" s="154">
        <v>42899</v>
      </c>
      <c r="C57" s="15" t="s">
        <v>162</v>
      </c>
      <c r="D57" s="15">
        <v>21</v>
      </c>
      <c r="E57" s="15">
        <v>24</v>
      </c>
      <c r="J57" s="161" t="s">
        <v>245</v>
      </c>
    </row>
    <row r="58" spans="1:10" ht="14.25" customHeight="1">
      <c r="A58" s="15" t="s">
        <v>246</v>
      </c>
      <c r="B58" s="154">
        <v>42898</v>
      </c>
      <c r="C58" s="15" t="s">
        <v>159</v>
      </c>
      <c r="D58" s="15">
        <v>6</v>
      </c>
      <c r="E58" s="15">
        <v>9</v>
      </c>
      <c r="J58" s="161" t="s">
        <v>247</v>
      </c>
    </row>
    <row r="59" spans="1:10" ht="14.25" customHeight="1">
      <c r="A59" s="15" t="s">
        <v>248</v>
      </c>
      <c r="B59" s="154">
        <v>42856</v>
      </c>
      <c r="C59" s="15" t="s">
        <v>165</v>
      </c>
      <c r="D59" s="15">
        <v>1.5</v>
      </c>
      <c r="E59" s="15">
        <v>4.5</v>
      </c>
      <c r="J59" s="4" t="s">
        <v>249</v>
      </c>
    </row>
    <row r="60" spans="1:10" ht="14.25" customHeight="1">
      <c r="A60" s="15" t="s">
        <v>250</v>
      </c>
      <c r="B60" s="154">
        <v>42856</v>
      </c>
      <c r="C60" s="15" t="s">
        <v>165</v>
      </c>
      <c r="D60" s="15">
        <v>21</v>
      </c>
      <c r="E60" s="15">
        <v>24</v>
      </c>
      <c r="J60" s="161" t="s">
        <v>251</v>
      </c>
    </row>
    <row r="61" spans="1:10" ht="14.25" customHeight="1">
      <c r="A61" s="15" t="s">
        <v>252</v>
      </c>
      <c r="B61" s="154">
        <v>42852</v>
      </c>
      <c r="C61" s="15" t="s">
        <v>165</v>
      </c>
      <c r="D61" s="15">
        <v>15</v>
      </c>
      <c r="E61" s="15">
        <v>18</v>
      </c>
      <c r="J61" s="161" t="s">
        <v>253</v>
      </c>
    </row>
    <row r="62" spans="1:10" ht="14.25" customHeight="1">
      <c r="A62" s="15" t="s">
        <v>254</v>
      </c>
      <c r="B62" s="154">
        <v>42845</v>
      </c>
      <c r="C62" s="15" t="s">
        <v>165</v>
      </c>
      <c r="D62" s="15">
        <v>21</v>
      </c>
      <c r="E62" s="15">
        <v>24</v>
      </c>
      <c r="J62" s="4" t="s">
        <v>255</v>
      </c>
    </row>
    <row r="63" spans="1:10" ht="14.25" customHeight="1">
      <c r="A63" s="15" t="s">
        <v>256</v>
      </c>
      <c r="B63" s="154">
        <v>42823</v>
      </c>
      <c r="C63" s="15" t="s">
        <v>165</v>
      </c>
      <c r="D63" s="15">
        <v>9</v>
      </c>
      <c r="E63" s="15">
        <v>12</v>
      </c>
      <c r="J63" s="4" t="s">
        <v>257</v>
      </c>
    </row>
    <row r="64" spans="1:10" ht="14.25" customHeight="1">
      <c r="A64" s="15" t="s">
        <v>258</v>
      </c>
      <c r="B64" s="154">
        <v>42776</v>
      </c>
      <c r="C64" s="15" t="s">
        <v>159</v>
      </c>
      <c r="D64" s="15">
        <v>6</v>
      </c>
      <c r="E64" s="15">
        <v>9</v>
      </c>
      <c r="J64" s="161" t="s">
        <v>259</v>
      </c>
    </row>
    <row r="65" spans="1:10" ht="14.25" customHeight="1">
      <c r="A65" s="15" t="s">
        <v>260</v>
      </c>
      <c r="B65" s="154">
        <v>42776</v>
      </c>
      <c r="C65" s="15" t="s">
        <v>162</v>
      </c>
      <c r="D65" s="15">
        <v>-3</v>
      </c>
      <c r="E65" s="15">
        <v>0</v>
      </c>
      <c r="J65" s="161" t="s">
        <v>261</v>
      </c>
    </row>
    <row r="66" spans="1:10" ht="14.25" customHeight="1">
      <c r="A66" s="15" t="s">
        <v>262</v>
      </c>
      <c r="B66" s="154">
        <v>42773</v>
      </c>
      <c r="C66" s="15" t="s">
        <v>159</v>
      </c>
      <c r="D66" s="15">
        <v>9</v>
      </c>
      <c r="E66" s="15">
        <v>12</v>
      </c>
      <c r="J66" s="161" t="s">
        <v>263</v>
      </c>
    </row>
    <row r="67" spans="1:10" ht="14.25" customHeight="1">
      <c r="A67" s="15" t="s">
        <v>264</v>
      </c>
      <c r="B67" s="154">
        <v>42768</v>
      </c>
      <c r="C67" s="15" t="s">
        <v>162</v>
      </c>
      <c r="D67" s="15">
        <v>-3</v>
      </c>
      <c r="E67" s="15">
        <v>0</v>
      </c>
      <c r="J67" s="161" t="s">
        <v>265</v>
      </c>
    </row>
    <row r="68" spans="1:10" ht="14.25" customHeight="1">
      <c r="A68" s="15" t="s">
        <v>266</v>
      </c>
      <c r="B68" s="154">
        <v>42761</v>
      </c>
      <c r="C68" s="15" t="s">
        <v>165</v>
      </c>
      <c r="D68" s="15">
        <v>0</v>
      </c>
      <c r="E68" s="15">
        <v>3</v>
      </c>
      <c r="J68" s="161" t="s">
        <v>267</v>
      </c>
    </row>
    <row r="69" spans="1:10" ht="14.25" customHeight="1">
      <c r="A69" s="15" t="s">
        <v>268</v>
      </c>
      <c r="B69" s="154">
        <v>42717</v>
      </c>
      <c r="C69" s="15" t="s">
        <v>159</v>
      </c>
      <c r="D69" s="15">
        <v>1</v>
      </c>
      <c r="E69" s="15">
        <v>4</v>
      </c>
      <c r="J69" s="161" t="s">
        <v>269</v>
      </c>
    </row>
    <row r="70" spans="1:10" ht="14.25" customHeight="1">
      <c r="A70" s="15" t="s">
        <v>270</v>
      </c>
      <c r="B70" s="154">
        <v>42717</v>
      </c>
      <c r="C70" s="15" t="s">
        <v>159</v>
      </c>
      <c r="D70" s="15">
        <v>21</v>
      </c>
      <c r="E70" s="15">
        <v>24</v>
      </c>
      <c r="J70" s="161" t="s">
        <v>271</v>
      </c>
    </row>
    <row r="71" spans="1:10" ht="14.25" customHeight="1">
      <c r="A71" s="15" t="s">
        <v>272</v>
      </c>
      <c r="B71" s="154">
        <v>42710</v>
      </c>
      <c r="C71" s="15" t="s">
        <v>159</v>
      </c>
      <c r="D71" s="15">
        <v>21</v>
      </c>
      <c r="E71" s="15">
        <v>24</v>
      </c>
      <c r="J71" s="161" t="s">
        <v>196</v>
      </c>
    </row>
    <row r="72" spans="1:10" ht="14.25" customHeight="1">
      <c r="A72" s="15" t="s">
        <v>273</v>
      </c>
      <c r="B72" s="154">
        <v>42710</v>
      </c>
      <c r="C72" s="15" t="s">
        <v>159</v>
      </c>
      <c r="D72" s="15">
        <v>21</v>
      </c>
      <c r="E72" s="15">
        <v>24</v>
      </c>
      <c r="J72" s="161" t="s">
        <v>274</v>
      </c>
    </row>
    <row r="73" spans="1:10" ht="14.25" customHeight="1">
      <c r="A73" s="15" t="s">
        <v>275</v>
      </c>
      <c r="B73" s="154">
        <v>42686</v>
      </c>
      <c r="C73" s="15" t="s">
        <v>165</v>
      </c>
      <c r="D73" s="15">
        <v>0</v>
      </c>
      <c r="E73" s="15">
        <v>3</v>
      </c>
      <c r="J73" s="161" t="s">
        <v>276</v>
      </c>
    </row>
    <row r="74" spans="1:10" ht="14.25" customHeight="1">
      <c r="A74" s="15" t="s">
        <v>277</v>
      </c>
      <c r="B74" s="154">
        <v>42682</v>
      </c>
      <c r="C74" s="15" t="s">
        <v>165</v>
      </c>
      <c r="D74" s="15">
        <v>1</v>
      </c>
      <c r="E74" s="15">
        <v>4</v>
      </c>
      <c r="J74" s="161" t="s">
        <v>278</v>
      </c>
    </row>
    <row r="75" spans="1:10" ht="14.25" customHeight="1">
      <c r="A75" s="15" t="s">
        <v>279</v>
      </c>
      <c r="B75" s="154">
        <v>42640</v>
      </c>
      <c r="C75" s="15" t="s">
        <v>159</v>
      </c>
      <c r="D75" s="15">
        <v>21</v>
      </c>
      <c r="E75" s="15">
        <v>24</v>
      </c>
      <c r="J75" s="161" t="s">
        <v>280</v>
      </c>
    </row>
    <row r="76" spans="1:10" ht="14.25" customHeight="1">
      <c r="A76" s="15" t="s">
        <v>281</v>
      </c>
      <c r="B76" s="154">
        <v>42636</v>
      </c>
      <c r="C76" s="15" t="s">
        <v>162</v>
      </c>
      <c r="D76" s="15">
        <v>3</v>
      </c>
      <c r="E76" s="15">
        <v>6</v>
      </c>
      <c r="J76" s="4" t="s">
        <v>282</v>
      </c>
    </row>
    <row r="77" spans="1:10" ht="14.25" customHeight="1">
      <c r="A77" s="15" t="s">
        <v>283</v>
      </c>
      <c r="B77" s="154">
        <v>42633</v>
      </c>
      <c r="C77" s="15" t="s">
        <v>162</v>
      </c>
      <c r="D77" s="15">
        <v>21</v>
      </c>
      <c r="E77" s="15">
        <v>24</v>
      </c>
      <c r="J77" s="161" t="s">
        <v>200</v>
      </c>
    </row>
    <row r="78" spans="1:10" ht="14.25" customHeight="1">
      <c r="A78" s="15" t="s">
        <v>284</v>
      </c>
      <c r="B78" s="154">
        <v>42625</v>
      </c>
      <c r="C78" s="15" t="s">
        <v>165</v>
      </c>
      <c r="D78" s="15">
        <v>21</v>
      </c>
      <c r="E78" s="15">
        <v>24</v>
      </c>
      <c r="J78" s="161" t="s">
        <v>285</v>
      </c>
    </row>
    <row r="79" spans="1:10" ht="14.25" customHeight="1">
      <c r="A79" s="15" t="s">
        <v>286</v>
      </c>
      <c r="B79" s="154">
        <v>42622</v>
      </c>
      <c r="C79" s="15" t="s">
        <v>162</v>
      </c>
      <c r="D79" s="15">
        <v>0</v>
      </c>
      <c r="E79" s="15">
        <v>3</v>
      </c>
      <c r="J79" s="161" t="s">
        <v>287</v>
      </c>
    </row>
    <row r="80" spans="1:10" ht="14.25" customHeight="1">
      <c r="A80" s="15" t="s">
        <v>288</v>
      </c>
      <c r="B80" s="154">
        <v>42615</v>
      </c>
      <c r="C80" s="15" t="s">
        <v>159</v>
      </c>
      <c r="D80" s="15">
        <v>21</v>
      </c>
      <c r="E80" s="15">
        <v>24</v>
      </c>
      <c r="F80" s="15" t="s">
        <v>176</v>
      </c>
      <c r="G80" s="15" t="s">
        <v>177</v>
      </c>
      <c r="J80" s="161" t="s">
        <v>289</v>
      </c>
    </row>
    <row r="81" spans="1:10" ht="14.25" customHeight="1">
      <c r="A81" s="14" t="s">
        <v>290</v>
      </c>
      <c r="C81" s="15" t="s">
        <v>179</v>
      </c>
      <c r="E81" s="15">
        <v>415.5</v>
      </c>
      <c r="F81" s="155">
        <f t="shared" ref="F81:F83" si="2">E81/12</f>
        <v>34.625</v>
      </c>
      <c r="G81" s="156">
        <f>F81*B83</f>
        <v>6210166.875</v>
      </c>
      <c r="J81" s="4" t="s">
        <v>291</v>
      </c>
    </row>
    <row r="82" spans="1:10" ht="14.25" customHeight="1">
      <c r="A82" s="157" t="s">
        <v>292</v>
      </c>
      <c r="B82" s="3">
        <v>48</v>
      </c>
      <c r="C82" s="15" t="s">
        <v>181</v>
      </c>
      <c r="D82" s="155">
        <f>AVERAGE(E48:E80)</f>
        <v>12.590909090909092</v>
      </c>
      <c r="E82" s="155">
        <f>(D82*B82)</f>
        <v>604.36363636363637</v>
      </c>
      <c r="F82" s="155">
        <f t="shared" si="2"/>
        <v>50.363636363636367</v>
      </c>
      <c r="G82" s="156">
        <f>F82*B83</f>
        <v>9032970</v>
      </c>
      <c r="J82" s="161" t="s">
        <v>293</v>
      </c>
    </row>
    <row r="83" spans="1:10" ht="14.25" customHeight="1">
      <c r="A83" s="157" t="s">
        <v>294</v>
      </c>
      <c r="B83" s="156">
        <v>179355</v>
      </c>
      <c r="C83" s="15" t="s">
        <v>183</v>
      </c>
      <c r="E83" s="3">
        <f>E81/B82</f>
        <v>8.65625</v>
      </c>
      <c r="F83" s="15">
        <f t="shared" si="2"/>
        <v>0.72135416666666663</v>
      </c>
      <c r="G83" s="156">
        <f>F83*B83</f>
        <v>129378.4765625</v>
      </c>
      <c r="J83" s="161" t="s">
        <v>295</v>
      </c>
    </row>
    <row r="84" spans="1:10" ht="14.25" customHeight="1">
      <c r="J84" s="161" t="s">
        <v>296</v>
      </c>
    </row>
    <row r="85" spans="1:10" ht="14.25" customHeight="1">
      <c r="B85" s="15" t="s">
        <v>297</v>
      </c>
      <c r="C85" s="15" t="s">
        <v>165</v>
      </c>
      <c r="D85" s="15">
        <v>21</v>
      </c>
      <c r="E85" s="15">
        <v>24</v>
      </c>
      <c r="J85" s="161" t="s">
        <v>298</v>
      </c>
    </row>
    <row r="86" spans="1:10" ht="14.25" customHeight="1">
      <c r="B86" s="15" t="s">
        <v>297</v>
      </c>
      <c r="C86" s="15" t="s">
        <v>165</v>
      </c>
      <c r="D86" s="15">
        <v>9</v>
      </c>
      <c r="E86" s="15">
        <v>12</v>
      </c>
      <c r="J86" s="4" t="s">
        <v>299</v>
      </c>
    </row>
    <row r="87" spans="1:10" ht="14.25" customHeight="1">
      <c r="B87" s="15" t="s">
        <v>297</v>
      </c>
      <c r="C87" s="15" t="s">
        <v>165</v>
      </c>
      <c r="D87" s="15">
        <v>21</v>
      </c>
      <c r="E87" s="15">
        <v>24</v>
      </c>
      <c r="J87" s="161" t="s">
        <v>300</v>
      </c>
    </row>
    <row r="88" spans="1:10" ht="14.25" customHeight="1">
      <c r="B88" s="15" t="s">
        <v>297</v>
      </c>
      <c r="C88" s="15" t="s">
        <v>165</v>
      </c>
      <c r="D88" s="15">
        <v>21</v>
      </c>
      <c r="E88" s="15">
        <v>24</v>
      </c>
      <c r="J88" s="161" t="s">
        <v>301</v>
      </c>
    </row>
    <row r="89" spans="1:10" ht="14.25" customHeight="1">
      <c r="B89" s="15" t="s">
        <v>297</v>
      </c>
      <c r="C89" s="15" t="s">
        <v>165</v>
      </c>
      <c r="D89" s="15">
        <v>21</v>
      </c>
      <c r="E89" s="15">
        <v>24</v>
      </c>
      <c r="J89" s="161" t="s">
        <v>302</v>
      </c>
    </row>
    <row r="90" spans="1:10" ht="14.25" customHeight="1">
      <c r="A90" s="15" t="s">
        <v>303</v>
      </c>
      <c r="B90" s="15" t="s">
        <v>297</v>
      </c>
      <c r="C90" s="15" t="s">
        <v>159</v>
      </c>
      <c r="D90" s="15">
        <v>9</v>
      </c>
      <c r="E90" s="15">
        <v>12</v>
      </c>
      <c r="J90" s="4" t="s">
        <v>304</v>
      </c>
    </row>
    <row r="91" spans="1:10" ht="14.25" customHeight="1">
      <c r="B91" s="15" t="s">
        <v>297</v>
      </c>
      <c r="C91" s="15" t="s">
        <v>159</v>
      </c>
      <c r="D91" s="15">
        <v>3</v>
      </c>
      <c r="E91" s="15">
        <v>6</v>
      </c>
      <c r="J91" s="161" t="s">
        <v>305</v>
      </c>
    </row>
    <row r="92" spans="1:10" ht="14.25" customHeight="1">
      <c r="B92" s="15" t="s">
        <v>306</v>
      </c>
      <c r="C92" s="15" t="s">
        <v>165</v>
      </c>
      <c r="D92" s="15">
        <v>9</v>
      </c>
      <c r="E92" s="15">
        <v>12</v>
      </c>
      <c r="J92" s="4" t="s">
        <v>307</v>
      </c>
    </row>
    <row r="93" spans="1:10" ht="14.25" customHeight="1">
      <c r="B93" s="15" t="s">
        <v>306</v>
      </c>
      <c r="C93" s="15" t="s">
        <v>165</v>
      </c>
      <c r="D93" s="15">
        <v>21</v>
      </c>
      <c r="E93" s="15">
        <v>24</v>
      </c>
      <c r="J93" s="4" t="s">
        <v>308</v>
      </c>
    </row>
    <row r="94" spans="1:10" ht="14.25" customHeight="1">
      <c r="B94" s="15" t="s">
        <v>306</v>
      </c>
      <c r="C94" s="15" t="s">
        <v>165</v>
      </c>
      <c r="D94" s="15">
        <v>21</v>
      </c>
      <c r="E94" s="15">
        <v>24</v>
      </c>
      <c r="J94" s="161" t="s">
        <v>309</v>
      </c>
    </row>
    <row r="95" spans="1:10" ht="14.25" customHeight="1">
      <c r="B95" s="15" t="s">
        <v>306</v>
      </c>
      <c r="C95" s="15" t="s">
        <v>165</v>
      </c>
      <c r="D95" s="15">
        <v>21</v>
      </c>
      <c r="E95" s="15">
        <v>24</v>
      </c>
      <c r="J95" s="161" t="s">
        <v>310</v>
      </c>
    </row>
    <row r="96" spans="1:10" ht="14.25" customHeight="1">
      <c r="B96" s="15" t="s">
        <v>306</v>
      </c>
      <c r="C96" s="15" t="s">
        <v>165</v>
      </c>
      <c r="D96" s="15">
        <v>21</v>
      </c>
      <c r="E96" s="15">
        <v>24</v>
      </c>
      <c r="J96" s="161" t="s">
        <v>311</v>
      </c>
    </row>
    <row r="97" spans="1:10" ht="14.25" customHeight="1">
      <c r="A97" s="15" t="s">
        <v>312</v>
      </c>
      <c r="B97" s="15" t="s">
        <v>306</v>
      </c>
      <c r="C97" s="15" t="s">
        <v>162</v>
      </c>
      <c r="D97" s="15">
        <v>21</v>
      </c>
      <c r="E97" s="15">
        <v>24</v>
      </c>
      <c r="J97" s="4" t="s">
        <v>313</v>
      </c>
    </row>
    <row r="98" spans="1:10" ht="14.25" customHeight="1">
      <c r="B98" s="15" t="s">
        <v>306</v>
      </c>
      <c r="C98" s="15" t="s">
        <v>162</v>
      </c>
      <c r="D98" s="15">
        <v>1</v>
      </c>
      <c r="E98" s="15">
        <v>4</v>
      </c>
      <c r="J98" s="161" t="s">
        <v>314</v>
      </c>
    </row>
    <row r="99" spans="1:10" ht="14.25" customHeight="1">
      <c r="A99" s="15" t="s">
        <v>315</v>
      </c>
      <c r="B99" s="15" t="s">
        <v>306</v>
      </c>
      <c r="C99" s="15" t="s">
        <v>162</v>
      </c>
      <c r="D99" s="15">
        <v>2</v>
      </c>
      <c r="E99" s="15">
        <v>5</v>
      </c>
      <c r="J99" s="161" t="s">
        <v>316</v>
      </c>
    </row>
    <row r="100" spans="1:10" ht="14.25" customHeight="1">
      <c r="A100" s="15" t="s">
        <v>317</v>
      </c>
      <c r="B100" s="15" t="s">
        <v>306</v>
      </c>
      <c r="C100" s="15" t="s">
        <v>159</v>
      </c>
      <c r="D100" s="15">
        <v>6</v>
      </c>
      <c r="E100" s="15">
        <v>9</v>
      </c>
      <c r="J100" s="161" t="s">
        <v>318</v>
      </c>
    </row>
    <row r="101" spans="1:10" ht="14.25" customHeight="1">
      <c r="A101" s="15" t="s">
        <v>319</v>
      </c>
      <c r="B101" s="15" t="s">
        <v>306</v>
      </c>
      <c r="C101" s="15" t="s">
        <v>159</v>
      </c>
      <c r="D101" s="15">
        <v>3</v>
      </c>
      <c r="E101" s="15">
        <v>6</v>
      </c>
      <c r="J101" s="161" t="s">
        <v>320</v>
      </c>
    </row>
    <row r="102" spans="1:10" ht="14.25" customHeight="1">
      <c r="B102" s="15" t="s">
        <v>321</v>
      </c>
      <c r="C102" s="15" t="s">
        <v>165</v>
      </c>
      <c r="D102" s="15">
        <v>21</v>
      </c>
      <c r="E102" s="15">
        <v>24</v>
      </c>
      <c r="J102" s="161" t="s">
        <v>322</v>
      </c>
    </row>
    <row r="103" spans="1:10" ht="14.25" customHeight="1">
      <c r="B103" s="15" t="s">
        <v>321</v>
      </c>
      <c r="C103" s="15" t="s">
        <v>165</v>
      </c>
      <c r="D103" s="15">
        <v>9</v>
      </c>
      <c r="E103" s="15">
        <v>12</v>
      </c>
      <c r="J103" s="161" t="s">
        <v>323</v>
      </c>
    </row>
    <row r="104" spans="1:10" ht="14.25" customHeight="1">
      <c r="B104" s="15" t="s">
        <v>321</v>
      </c>
      <c r="C104" s="15" t="s">
        <v>162</v>
      </c>
      <c r="D104" s="15">
        <v>12</v>
      </c>
      <c r="E104" s="15">
        <v>15</v>
      </c>
      <c r="J104" s="161" t="s">
        <v>324</v>
      </c>
    </row>
    <row r="105" spans="1:10" ht="14.25" customHeight="1">
      <c r="B105" s="15" t="s">
        <v>321</v>
      </c>
      <c r="C105" s="15" t="s">
        <v>162</v>
      </c>
      <c r="D105" s="15">
        <v>13</v>
      </c>
      <c r="E105" s="15">
        <v>16</v>
      </c>
      <c r="J105" s="161" t="s">
        <v>325</v>
      </c>
    </row>
    <row r="106" spans="1:10" ht="14.25" customHeight="1">
      <c r="B106" s="15" t="s">
        <v>321</v>
      </c>
      <c r="C106" s="15" t="s">
        <v>159</v>
      </c>
      <c r="D106" s="15">
        <v>21</v>
      </c>
      <c r="E106" s="15">
        <v>24</v>
      </c>
      <c r="J106" s="161" t="s">
        <v>326</v>
      </c>
    </row>
    <row r="107" spans="1:10" ht="14.25" customHeight="1">
      <c r="B107" s="15" t="s">
        <v>321</v>
      </c>
      <c r="C107" s="15" t="s">
        <v>159</v>
      </c>
      <c r="D107" s="15">
        <v>3</v>
      </c>
      <c r="E107" s="15">
        <v>6</v>
      </c>
      <c r="J107" s="161" t="s">
        <v>327</v>
      </c>
    </row>
    <row r="108" spans="1:10" ht="14.25" customHeight="1">
      <c r="B108" s="15" t="s">
        <v>321</v>
      </c>
      <c r="C108" s="15" t="s">
        <v>159</v>
      </c>
      <c r="D108" s="15">
        <v>12</v>
      </c>
      <c r="E108" s="15">
        <v>15</v>
      </c>
      <c r="J108" s="161" t="s">
        <v>328</v>
      </c>
    </row>
    <row r="109" spans="1:10" ht="14.25" customHeight="1">
      <c r="A109" s="15" t="s">
        <v>329</v>
      </c>
      <c r="B109" s="15" t="s">
        <v>330</v>
      </c>
      <c r="C109" s="15" t="s">
        <v>159</v>
      </c>
      <c r="D109" s="15">
        <v>21</v>
      </c>
      <c r="E109" s="15">
        <v>24</v>
      </c>
      <c r="F109" s="15" t="s">
        <v>176</v>
      </c>
      <c r="G109" s="15" t="s">
        <v>177</v>
      </c>
      <c r="J109" s="161" t="s">
        <v>331</v>
      </c>
    </row>
    <row r="110" spans="1:10" ht="14.25" customHeight="1">
      <c r="A110" s="14" t="s">
        <v>332</v>
      </c>
      <c r="C110" s="15" t="s">
        <v>179</v>
      </c>
      <c r="E110" s="15">
        <v>394</v>
      </c>
      <c r="F110" s="155">
        <f t="shared" ref="F110:F112" si="3">E110/12</f>
        <v>32.833333333333336</v>
      </c>
      <c r="G110" s="156">
        <f>F110*B112</f>
        <v>6099612.5</v>
      </c>
      <c r="J110" s="161" t="s">
        <v>333</v>
      </c>
    </row>
    <row r="111" spans="1:10" ht="14.25" customHeight="1">
      <c r="A111" s="157" t="s">
        <v>334</v>
      </c>
      <c r="B111" s="15">
        <v>47</v>
      </c>
      <c r="C111" s="15" t="s">
        <v>181</v>
      </c>
      <c r="D111" s="15">
        <f>AVERAGE(E85:E109)</f>
        <v>16.72</v>
      </c>
      <c r="E111" s="15">
        <f>(D111*B111)</f>
        <v>785.83999999999992</v>
      </c>
      <c r="F111" s="155">
        <f t="shared" si="3"/>
        <v>65.486666666666665</v>
      </c>
      <c r="G111" s="156">
        <f>F111*B112</f>
        <v>12165785.5</v>
      </c>
      <c r="J111" s="161" t="s">
        <v>335</v>
      </c>
    </row>
    <row r="112" spans="1:10" ht="14.25" customHeight="1">
      <c r="A112" s="157" t="s">
        <v>336</v>
      </c>
      <c r="B112" s="156">
        <v>185775</v>
      </c>
      <c r="E112" s="3">
        <f>E110/B111</f>
        <v>8.3829787234042552</v>
      </c>
      <c r="F112" s="15">
        <f t="shared" si="3"/>
        <v>0.6985815602836879</v>
      </c>
      <c r="G112" s="156">
        <f>F112*B112</f>
        <v>129778.98936170212</v>
      </c>
      <c r="J112" s="4" t="s">
        <v>337</v>
      </c>
    </row>
    <row r="113" spans="1:10" ht="14.25" customHeight="1">
      <c r="J113" s="161" t="s">
        <v>338</v>
      </c>
    </row>
    <row r="114" spans="1:10" ht="14.25" customHeight="1">
      <c r="A114" s="15" t="s">
        <v>339</v>
      </c>
      <c r="B114" s="15" t="s">
        <v>340</v>
      </c>
      <c r="C114" s="15" t="s">
        <v>165</v>
      </c>
      <c r="D114" s="15">
        <v>11</v>
      </c>
      <c r="E114" s="15">
        <v>14</v>
      </c>
      <c r="J114" s="161" t="s">
        <v>341</v>
      </c>
    </row>
    <row r="115" spans="1:10" ht="14.25" customHeight="1">
      <c r="A115" s="15" t="s">
        <v>342</v>
      </c>
      <c r="B115" s="15" t="s">
        <v>340</v>
      </c>
      <c r="C115" s="15" t="s">
        <v>165</v>
      </c>
      <c r="D115" s="15">
        <v>21</v>
      </c>
      <c r="E115" s="15">
        <v>24</v>
      </c>
      <c r="J115" s="4" t="s">
        <v>343</v>
      </c>
    </row>
    <row r="116" spans="1:10" ht="14.25" customHeight="1">
      <c r="A116" s="15" t="s">
        <v>344</v>
      </c>
      <c r="B116" s="15" t="s">
        <v>340</v>
      </c>
      <c r="C116" s="15" t="s">
        <v>165</v>
      </c>
      <c r="D116" s="15">
        <v>21</v>
      </c>
      <c r="E116" s="15">
        <v>24</v>
      </c>
      <c r="J116" s="161" t="s">
        <v>345</v>
      </c>
    </row>
    <row r="117" spans="1:10" ht="14.25" customHeight="1">
      <c r="A117" s="15" t="s">
        <v>346</v>
      </c>
      <c r="B117" s="15" t="s">
        <v>340</v>
      </c>
      <c r="C117" s="15" t="s">
        <v>165</v>
      </c>
      <c r="D117" s="15">
        <v>21</v>
      </c>
      <c r="E117" s="15">
        <v>24</v>
      </c>
      <c r="J117" s="161" t="s">
        <v>347</v>
      </c>
    </row>
    <row r="118" spans="1:10" ht="14.25" customHeight="1">
      <c r="A118" s="15" t="s">
        <v>348</v>
      </c>
      <c r="B118" s="15" t="s">
        <v>340</v>
      </c>
      <c r="C118" s="15" t="s">
        <v>162</v>
      </c>
      <c r="D118" s="15">
        <v>0</v>
      </c>
      <c r="E118" s="15">
        <v>3</v>
      </c>
      <c r="J118" s="4" t="s">
        <v>349</v>
      </c>
    </row>
    <row r="119" spans="1:10" ht="14.25" customHeight="1">
      <c r="A119" s="15" t="s">
        <v>350</v>
      </c>
      <c r="B119" s="15" t="s">
        <v>340</v>
      </c>
      <c r="C119" s="15" t="s">
        <v>159</v>
      </c>
      <c r="D119" s="15">
        <v>0</v>
      </c>
      <c r="E119" s="15">
        <v>3</v>
      </c>
      <c r="J119" s="161" t="s">
        <v>351</v>
      </c>
    </row>
    <row r="120" spans="1:10" ht="14.25" customHeight="1">
      <c r="A120" s="15" t="s">
        <v>352</v>
      </c>
      <c r="B120" s="15" t="s">
        <v>353</v>
      </c>
      <c r="C120" s="15" t="s">
        <v>165</v>
      </c>
      <c r="D120" s="15">
        <v>21</v>
      </c>
      <c r="E120" s="15">
        <v>24</v>
      </c>
      <c r="J120" s="161" t="s">
        <v>354</v>
      </c>
    </row>
    <row r="121" spans="1:10" ht="14.25" customHeight="1">
      <c r="A121" s="15" t="s">
        <v>355</v>
      </c>
      <c r="B121" s="15" t="s">
        <v>353</v>
      </c>
      <c r="C121" s="15" t="s">
        <v>159</v>
      </c>
      <c r="D121" s="15">
        <v>21</v>
      </c>
      <c r="E121" s="15">
        <v>24</v>
      </c>
      <c r="J121" s="161" t="s">
        <v>356</v>
      </c>
    </row>
    <row r="122" spans="1:10" ht="14.25" customHeight="1">
      <c r="A122" s="15" t="s">
        <v>357</v>
      </c>
      <c r="B122" s="15" t="s">
        <v>353</v>
      </c>
      <c r="C122" s="15" t="s">
        <v>165</v>
      </c>
      <c r="D122" s="15">
        <v>21</v>
      </c>
      <c r="E122" s="15">
        <v>24</v>
      </c>
      <c r="J122" s="161" t="s">
        <v>358</v>
      </c>
    </row>
    <row r="123" spans="1:10" ht="14.25" customHeight="1">
      <c r="A123" s="15" t="s">
        <v>359</v>
      </c>
      <c r="B123" s="15" t="s">
        <v>353</v>
      </c>
      <c r="C123" s="15" t="s">
        <v>162</v>
      </c>
      <c r="D123" s="15">
        <v>21</v>
      </c>
      <c r="E123" s="15">
        <v>24</v>
      </c>
      <c r="J123" s="161" t="s">
        <v>360</v>
      </c>
    </row>
    <row r="124" spans="1:10" ht="14.25" customHeight="1">
      <c r="A124" s="15" t="s">
        <v>361</v>
      </c>
      <c r="B124" s="15" t="s">
        <v>353</v>
      </c>
      <c r="C124" s="15" t="s">
        <v>159</v>
      </c>
      <c r="D124" s="15">
        <v>21</v>
      </c>
      <c r="E124" s="15">
        <v>24</v>
      </c>
      <c r="J124" s="161" t="s">
        <v>362</v>
      </c>
    </row>
    <row r="125" spans="1:10" ht="14.25" customHeight="1">
      <c r="A125" s="15" t="s">
        <v>363</v>
      </c>
      <c r="B125" s="15" t="s">
        <v>364</v>
      </c>
      <c r="C125" s="15" t="s">
        <v>165</v>
      </c>
      <c r="D125" s="15">
        <v>2</v>
      </c>
      <c r="E125" s="15">
        <v>5</v>
      </c>
      <c r="J125" s="161" t="s">
        <v>365</v>
      </c>
    </row>
    <row r="126" spans="1:10" ht="14.25" customHeight="1">
      <c r="A126" s="15" t="s">
        <v>366</v>
      </c>
      <c r="B126" s="15" t="s">
        <v>364</v>
      </c>
      <c r="C126" s="15" t="s">
        <v>165</v>
      </c>
      <c r="D126" s="15">
        <v>9</v>
      </c>
      <c r="E126" s="15">
        <v>12</v>
      </c>
      <c r="J126" s="161" t="s">
        <v>367</v>
      </c>
    </row>
    <row r="127" spans="1:10" ht="14.25" customHeight="1">
      <c r="A127" s="15" t="s">
        <v>368</v>
      </c>
      <c r="B127" s="15" t="s">
        <v>364</v>
      </c>
      <c r="C127" s="15" t="s">
        <v>165</v>
      </c>
      <c r="D127" s="15">
        <v>6</v>
      </c>
      <c r="E127" s="15">
        <v>9</v>
      </c>
      <c r="J127" s="4" t="s">
        <v>369</v>
      </c>
    </row>
    <row r="128" spans="1:10" ht="14.25" customHeight="1">
      <c r="A128" s="15" t="s">
        <v>370</v>
      </c>
      <c r="B128" s="15" t="s">
        <v>364</v>
      </c>
      <c r="C128" s="15" t="s">
        <v>159</v>
      </c>
      <c r="D128" s="15">
        <v>21</v>
      </c>
      <c r="E128" s="15">
        <v>24</v>
      </c>
      <c r="J128" s="161" t="s">
        <v>371</v>
      </c>
    </row>
    <row r="129" spans="1:10" ht="14.25" customHeight="1">
      <c r="A129" s="15" t="s">
        <v>372</v>
      </c>
      <c r="B129" s="15" t="s">
        <v>373</v>
      </c>
      <c r="C129" s="15" t="s">
        <v>165</v>
      </c>
      <c r="D129" s="15">
        <v>0</v>
      </c>
      <c r="E129" s="15">
        <v>3</v>
      </c>
      <c r="J129" s="161" t="s">
        <v>374</v>
      </c>
    </row>
    <row r="130" spans="1:10" ht="14.25" customHeight="1">
      <c r="A130" s="15" t="s">
        <v>375</v>
      </c>
      <c r="B130" s="15" t="s">
        <v>376</v>
      </c>
      <c r="C130" s="15" t="s">
        <v>159</v>
      </c>
      <c r="D130" s="15">
        <v>21</v>
      </c>
      <c r="E130" s="15">
        <v>24</v>
      </c>
      <c r="J130" s="161" t="s">
        <v>377</v>
      </c>
    </row>
    <row r="131" spans="1:10" ht="14.25" customHeight="1">
      <c r="A131" s="15" t="s">
        <v>378</v>
      </c>
      <c r="B131" s="15" t="s">
        <v>376</v>
      </c>
      <c r="C131" s="15" t="s">
        <v>159</v>
      </c>
      <c r="D131" s="15">
        <v>3</v>
      </c>
      <c r="E131" s="15">
        <v>6</v>
      </c>
      <c r="J131" s="161" t="s">
        <v>379</v>
      </c>
    </row>
    <row r="132" spans="1:10" ht="14.25" customHeight="1">
      <c r="A132" s="15" t="s">
        <v>380</v>
      </c>
      <c r="B132" s="15" t="s">
        <v>376</v>
      </c>
      <c r="C132" s="15" t="s">
        <v>162</v>
      </c>
      <c r="D132" s="15">
        <v>3</v>
      </c>
      <c r="E132" s="15">
        <v>6</v>
      </c>
      <c r="J132" s="161" t="s">
        <v>381</v>
      </c>
    </row>
    <row r="133" spans="1:10" ht="14.25" customHeight="1">
      <c r="A133" s="15" t="s">
        <v>382</v>
      </c>
      <c r="B133" s="15" t="s">
        <v>376</v>
      </c>
      <c r="C133" s="15" t="s">
        <v>162</v>
      </c>
      <c r="D133" s="15">
        <v>9</v>
      </c>
      <c r="E133" s="15">
        <v>12</v>
      </c>
      <c r="F133" s="15" t="s">
        <v>176</v>
      </c>
      <c r="G133" s="15" t="s">
        <v>177</v>
      </c>
      <c r="J133" s="4"/>
    </row>
    <row r="134" spans="1:10" ht="14.25" customHeight="1">
      <c r="A134" s="14" t="s">
        <v>383</v>
      </c>
      <c r="C134" s="15" t="s">
        <v>179</v>
      </c>
      <c r="E134" s="15">
        <v>313</v>
      </c>
      <c r="F134" s="155">
        <f t="shared" ref="F134:F136" si="4">E134/12</f>
        <v>26.083333333333332</v>
      </c>
      <c r="G134" s="156">
        <f>F134*B136</f>
        <v>5020118.3166666664</v>
      </c>
      <c r="J134" s="161"/>
    </row>
    <row r="135" spans="1:10" ht="14.25" customHeight="1">
      <c r="A135" s="163" t="s">
        <v>384</v>
      </c>
      <c r="B135" s="15">
        <v>47</v>
      </c>
      <c r="C135" s="15" t="s">
        <v>181</v>
      </c>
      <c r="D135" s="15">
        <f>AVERAGE(E114:E133)</f>
        <v>15.65</v>
      </c>
      <c r="E135" s="15">
        <f>(D135*B135)</f>
        <v>735.55000000000007</v>
      </c>
      <c r="F135" s="155">
        <f t="shared" si="4"/>
        <v>61.295833333333341</v>
      </c>
      <c r="G135" s="156">
        <f>F135*B136</f>
        <v>11797278.044166669</v>
      </c>
      <c r="J135" s="161"/>
    </row>
    <row r="136" spans="1:10" ht="14.25" customHeight="1">
      <c r="A136" s="157" t="s">
        <v>385</v>
      </c>
      <c r="B136" s="156">
        <v>192464.6</v>
      </c>
      <c r="E136" s="3">
        <f>E134/B135</f>
        <v>6.6595744680851068</v>
      </c>
      <c r="F136" s="15">
        <f t="shared" si="4"/>
        <v>0.55496453900709219</v>
      </c>
      <c r="G136" s="156">
        <f>F136*B136</f>
        <v>106811.0280141844</v>
      </c>
      <c r="J136" s="4"/>
    </row>
    <row r="137" spans="1:10" ht="14.25" customHeight="1">
      <c r="J137" s="161"/>
    </row>
    <row r="138" spans="1:10" ht="14.25" customHeight="1">
      <c r="J138" s="4"/>
    </row>
    <row r="139" spans="1:10" ht="14.25" customHeight="1">
      <c r="A139" s="3" t="s">
        <v>386</v>
      </c>
      <c r="B139" s="3" t="s">
        <v>387</v>
      </c>
      <c r="C139" s="3" t="s">
        <v>165</v>
      </c>
      <c r="D139" s="3">
        <v>4</v>
      </c>
      <c r="E139" s="3">
        <f t="shared" ref="E139:E161" si="5">D139+3</f>
        <v>7</v>
      </c>
      <c r="F139" s="3"/>
      <c r="G139" s="3"/>
      <c r="J139" s="4"/>
    </row>
    <row r="140" spans="1:10" ht="14.25" customHeight="1">
      <c r="A140" s="3" t="s">
        <v>388</v>
      </c>
      <c r="B140" s="3" t="s">
        <v>387</v>
      </c>
      <c r="C140" s="3" t="s">
        <v>165</v>
      </c>
      <c r="D140" s="3">
        <v>21</v>
      </c>
      <c r="E140" s="3">
        <f t="shared" si="5"/>
        <v>24</v>
      </c>
      <c r="F140" s="3"/>
      <c r="G140" s="3"/>
      <c r="J140" s="4"/>
    </row>
    <row r="141" spans="1:10" ht="14.25" customHeight="1">
      <c r="A141" s="3" t="s">
        <v>389</v>
      </c>
      <c r="B141" s="3" t="s">
        <v>387</v>
      </c>
      <c r="C141" s="3" t="s">
        <v>165</v>
      </c>
      <c r="D141" s="3">
        <v>3</v>
      </c>
      <c r="E141" s="3">
        <f t="shared" si="5"/>
        <v>6</v>
      </c>
      <c r="F141" s="3"/>
      <c r="G141" s="3"/>
      <c r="J141" s="4"/>
    </row>
    <row r="142" spans="1:10" ht="14.25" customHeight="1">
      <c r="A142" s="3" t="s">
        <v>390</v>
      </c>
      <c r="B142" s="3" t="s">
        <v>387</v>
      </c>
      <c r="C142" s="3" t="s">
        <v>165</v>
      </c>
      <c r="D142" s="3">
        <v>21</v>
      </c>
      <c r="E142" s="3">
        <f t="shared" si="5"/>
        <v>24</v>
      </c>
      <c r="F142" s="3"/>
      <c r="G142" s="3"/>
    </row>
    <row r="143" spans="1:10" ht="14.25" customHeight="1">
      <c r="A143" s="3" t="s">
        <v>391</v>
      </c>
      <c r="B143" s="3" t="s">
        <v>387</v>
      </c>
      <c r="C143" s="3" t="s">
        <v>165</v>
      </c>
      <c r="D143" s="3">
        <v>21</v>
      </c>
      <c r="E143" s="3">
        <f t="shared" si="5"/>
        <v>24</v>
      </c>
      <c r="F143" s="3"/>
      <c r="G143" s="3"/>
    </row>
    <row r="144" spans="1:10" ht="14.25" customHeight="1">
      <c r="A144" s="3" t="s">
        <v>392</v>
      </c>
      <c r="B144" s="3" t="s">
        <v>393</v>
      </c>
      <c r="C144" s="3" t="s">
        <v>159</v>
      </c>
      <c r="D144" s="3">
        <v>21</v>
      </c>
      <c r="E144" s="3">
        <f t="shared" si="5"/>
        <v>24</v>
      </c>
      <c r="F144" s="3"/>
      <c r="G144" s="3"/>
    </row>
    <row r="145" spans="1:7" ht="14.25" customHeight="1">
      <c r="A145" s="3" t="s">
        <v>394</v>
      </c>
      <c r="B145" s="3" t="s">
        <v>393</v>
      </c>
      <c r="C145" s="3" t="s">
        <v>159</v>
      </c>
      <c r="D145" s="3">
        <v>21</v>
      </c>
      <c r="E145" s="3">
        <f t="shared" si="5"/>
        <v>24</v>
      </c>
      <c r="F145" s="3"/>
      <c r="G145" s="3"/>
    </row>
    <row r="146" spans="1:7" ht="14.25" customHeight="1">
      <c r="A146" s="3" t="s">
        <v>395</v>
      </c>
      <c r="B146" s="3" t="s">
        <v>393</v>
      </c>
      <c r="C146" s="3" t="s">
        <v>159</v>
      </c>
      <c r="D146" s="3">
        <v>21</v>
      </c>
      <c r="E146" s="3">
        <f t="shared" si="5"/>
        <v>24</v>
      </c>
      <c r="F146" s="3"/>
      <c r="G146" s="3"/>
    </row>
    <row r="147" spans="1:7" ht="14.25" customHeight="1">
      <c r="A147" s="3" t="s">
        <v>396</v>
      </c>
      <c r="B147" s="3" t="s">
        <v>393</v>
      </c>
      <c r="C147" s="3" t="s">
        <v>162</v>
      </c>
      <c r="D147" s="3">
        <v>0</v>
      </c>
      <c r="E147" s="3">
        <f t="shared" si="5"/>
        <v>3</v>
      </c>
      <c r="F147" s="3"/>
      <c r="G147" s="3"/>
    </row>
    <row r="148" spans="1:7" ht="14.25" customHeight="1">
      <c r="A148" s="3" t="s">
        <v>397</v>
      </c>
      <c r="B148" s="3" t="s">
        <v>393</v>
      </c>
      <c r="C148" s="3" t="s">
        <v>165</v>
      </c>
      <c r="D148" s="3">
        <v>2</v>
      </c>
      <c r="E148" s="3">
        <f t="shared" si="5"/>
        <v>5</v>
      </c>
      <c r="F148" s="3"/>
      <c r="G148" s="3"/>
    </row>
    <row r="149" spans="1:7" ht="14.25" customHeight="1">
      <c r="A149" s="3" t="s">
        <v>398</v>
      </c>
      <c r="B149" s="3" t="s">
        <v>393</v>
      </c>
      <c r="C149" s="3" t="s">
        <v>165</v>
      </c>
      <c r="D149" s="3">
        <v>21</v>
      </c>
      <c r="E149" s="3">
        <f t="shared" si="5"/>
        <v>24</v>
      </c>
      <c r="F149" s="3"/>
      <c r="G149" s="3"/>
    </row>
    <row r="150" spans="1:7" ht="14.25" customHeight="1">
      <c r="A150" s="3" t="s">
        <v>399</v>
      </c>
      <c r="B150" s="3" t="s">
        <v>400</v>
      </c>
      <c r="C150" s="3" t="s">
        <v>165</v>
      </c>
      <c r="D150" s="3">
        <v>21</v>
      </c>
      <c r="E150" s="3">
        <f t="shared" si="5"/>
        <v>24</v>
      </c>
      <c r="F150" s="3"/>
      <c r="G150" s="3"/>
    </row>
    <row r="151" spans="1:7" ht="14.25" customHeight="1">
      <c r="A151" s="3" t="s">
        <v>401</v>
      </c>
      <c r="B151" s="3" t="s">
        <v>400</v>
      </c>
      <c r="C151" s="3" t="s">
        <v>165</v>
      </c>
      <c r="D151" s="3">
        <v>3</v>
      </c>
      <c r="E151" s="3">
        <f t="shared" si="5"/>
        <v>6</v>
      </c>
      <c r="F151" s="3"/>
      <c r="G151" s="3"/>
    </row>
    <row r="152" spans="1:7" ht="14.25" customHeight="1">
      <c r="A152" s="3" t="s">
        <v>402</v>
      </c>
      <c r="B152" s="3" t="s">
        <v>400</v>
      </c>
      <c r="C152" s="3" t="s">
        <v>165</v>
      </c>
      <c r="D152" s="3">
        <v>21</v>
      </c>
      <c r="E152" s="3">
        <f t="shared" si="5"/>
        <v>24</v>
      </c>
      <c r="F152" s="3"/>
      <c r="G152" s="3"/>
    </row>
    <row r="153" spans="1:7" ht="14.25" customHeight="1">
      <c r="A153" s="3" t="s">
        <v>403</v>
      </c>
      <c r="B153" s="3" t="s">
        <v>400</v>
      </c>
      <c r="C153" s="3" t="s">
        <v>159</v>
      </c>
      <c r="D153" s="3">
        <v>3</v>
      </c>
      <c r="E153" s="3">
        <f t="shared" si="5"/>
        <v>6</v>
      </c>
      <c r="F153" s="3"/>
      <c r="G153" s="3"/>
    </row>
    <row r="154" spans="1:7" ht="14.25" customHeight="1">
      <c r="A154" s="3" t="s">
        <v>404</v>
      </c>
      <c r="B154" s="3" t="s">
        <v>400</v>
      </c>
      <c r="C154" s="3" t="s">
        <v>159</v>
      </c>
      <c r="D154" s="3">
        <v>6</v>
      </c>
      <c r="E154" s="3">
        <f t="shared" si="5"/>
        <v>9</v>
      </c>
      <c r="F154" s="3"/>
      <c r="G154" s="3"/>
    </row>
    <row r="155" spans="1:7" ht="14.25" customHeight="1">
      <c r="A155" s="3" t="s">
        <v>405</v>
      </c>
      <c r="B155" s="3" t="s">
        <v>400</v>
      </c>
      <c r="C155" s="3" t="s">
        <v>159</v>
      </c>
      <c r="D155" s="3">
        <v>9</v>
      </c>
      <c r="E155" s="3">
        <f t="shared" si="5"/>
        <v>12</v>
      </c>
      <c r="F155" s="3"/>
      <c r="G155" s="3"/>
    </row>
    <row r="156" spans="1:7" ht="14.25" customHeight="1">
      <c r="A156" s="3" t="s">
        <v>406</v>
      </c>
      <c r="B156" s="3" t="s">
        <v>400</v>
      </c>
      <c r="C156" s="3" t="s">
        <v>159</v>
      </c>
      <c r="D156" s="3">
        <v>3</v>
      </c>
      <c r="E156" s="3">
        <f t="shared" si="5"/>
        <v>6</v>
      </c>
      <c r="F156" s="3"/>
      <c r="G156" s="3"/>
    </row>
    <row r="157" spans="1:7" ht="14.25" customHeight="1">
      <c r="A157" s="3" t="s">
        <v>407</v>
      </c>
      <c r="B157" s="3" t="s">
        <v>400</v>
      </c>
      <c r="C157" s="3" t="s">
        <v>159</v>
      </c>
      <c r="D157" s="3">
        <v>21</v>
      </c>
      <c r="E157" s="3">
        <f t="shared" si="5"/>
        <v>24</v>
      </c>
      <c r="F157" s="3"/>
      <c r="G157" s="3"/>
    </row>
    <row r="158" spans="1:7" ht="14.25" customHeight="1">
      <c r="A158" s="3" t="s">
        <v>408</v>
      </c>
      <c r="B158" s="3" t="s">
        <v>409</v>
      </c>
      <c r="C158" s="3" t="s">
        <v>165</v>
      </c>
      <c r="D158" s="3">
        <v>12</v>
      </c>
      <c r="E158" s="3">
        <f t="shared" si="5"/>
        <v>15</v>
      </c>
      <c r="F158" s="3"/>
      <c r="G158" s="3"/>
    </row>
    <row r="159" spans="1:7" ht="14.25" customHeight="1">
      <c r="A159" s="3" t="s">
        <v>410</v>
      </c>
      <c r="B159" s="3" t="s">
        <v>409</v>
      </c>
      <c r="C159" s="3" t="s">
        <v>165</v>
      </c>
      <c r="D159" s="3">
        <v>0</v>
      </c>
      <c r="E159" s="3">
        <f t="shared" si="5"/>
        <v>3</v>
      </c>
      <c r="F159" s="3"/>
      <c r="G159" s="3"/>
    </row>
    <row r="160" spans="1:7" ht="14.25" customHeight="1">
      <c r="A160" s="3" t="s">
        <v>411</v>
      </c>
      <c r="B160" s="3" t="s">
        <v>409</v>
      </c>
      <c r="C160" s="3" t="s">
        <v>162</v>
      </c>
      <c r="D160" s="3">
        <v>0</v>
      </c>
      <c r="E160" s="3">
        <f t="shared" si="5"/>
        <v>3</v>
      </c>
      <c r="F160" s="3"/>
      <c r="G160" s="3"/>
    </row>
    <row r="161" spans="1:7" ht="14.25" customHeight="1">
      <c r="A161" s="3" t="s">
        <v>412</v>
      </c>
      <c r="B161" s="3" t="s">
        <v>409</v>
      </c>
      <c r="C161" s="3" t="s">
        <v>162</v>
      </c>
      <c r="D161" s="3">
        <v>21</v>
      </c>
      <c r="E161" s="3">
        <f t="shared" si="5"/>
        <v>24</v>
      </c>
      <c r="F161" s="3" t="s">
        <v>176</v>
      </c>
      <c r="G161" s="3" t="s">
        <v>177</v>
      </c>
    </row>
    <row r="162" spans="1:7" ht="14.25" customHeight="1">
      <c r="A162" s="14" t="s">
        <v>413</v>
      </c>
      <c r="B162" s="3"/>
      <c r="C162" s="3" t="s">
        <v>179</v>
      </c>
      <c r="D162" s="3">
        <f t="shared" ref="D162:E162" si="6">SUM(D139:D161)</f>
        <v>276</v>
      </c>
      <c r="E162" s="3">
        <f t="shared" si="6"/>
        <v>345</v>
      </c>
      <c r="F162" s="155">
        <f t="shared" ref="F162:F164" si="7">E162/12</f>
        <v>28.75</v>
      </c>
      <c r="G162" s="156">
        <f>F162*B164</f>
        <v>5682262.125</v>
      </c>
    </row>
    <row r="163" spans="1:7" ht="14.25" customHeight="1">
      <c r="A163" s="163" t="s">
        <v>414</v>
      </c>
      <c r="B163" s="3">
        <v>54</v>
      </c>
      <c r="C163" s="3" t="s">
        <v>181</v>
      </c>
      <c r="D163" s="3">
        <f>AVERAGE(E142:E161)</f>
        <v>15.4</v>
      </c>
      <c r="E163" s="3">
        <f>(D163*B163)</f>
        <v>831.6</v>
      </c>
      <c r="F163" s="155">
        <f t="shared" si="7"/>
        <v>69.3</v>
      </c>
      <c r="G163" s="156">
        <f>F163*B164</f>
        <v>13696722.27</v>
      </c>
    </row>
    <row r="164" spans="1:7" ht="14.25" customHeight="1">
      <c r="A164" s="157" t="s">
        <v>415</v>
      </c>
      <c r="B164" s="156">
        <v>197643.9</v>
      </c>
      <c r="C164" s="3"/>
      <c r="D164" s="3"/>
      <c r="E164" s="3">
        <f>E162/B163</f>
        <v>6.3888888888888893</v>
      </c>
      <c r="F164" s="3">
        <f t="shared" si="7"/>
        <v>0.53240740740740744</v>
      </c>
      <c r="G164" s="156">
        <f>F164*B164</f>
        <v>105227.07638888889</v>
      </c>
    </row>
    <row r="165" spans="1:7" ht="14.25" customHeight="1"/>
    <row r="166" spans="1:7" ht="14.25" customHeight="1"/>
    <row r="167" spans="1:7" ht="14.25" customHeight="1"/>
    <row r="168" spans="1:7" ht="14.25" customHeight="1"/>
    <row r="169" spans="1:7" ht="14.25" customHeight="1"/>
    <row r="170" spans="1:7" ht="14.25" customHeight="1"/>
    <row r="171" spans="1:7" ht="14.25" customHeight="1"/>
    <row r="172" spans="1:7" ht="14.25" customHeight="1"/>
    <row r="173" spans="1:7" ht="14.25" customHeight="1"/>
    <row r="174" spans="1:7" ht="14.25" customHeight="1"/>
    <row r="175" spans="1:7" ht="14.25" customHeight="1"/>
    <row r="176" spans="1:7"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0. Introdution</vt:lpstr>
      <vt:lpstr>1. Total ROI</vt:lpstr>
      <vt:lpstr>2. SP PY4</vt:lpstr>
      <vt:lpstr>3. SP PY5</vt:lpstr>
      <vt:lpstr>4. SP PY6</vt:lpstr>
      <vt:lpstr>5. SP PY7</vt:lpstr>
      <vt:lpstr>6. SP PY8</vt:lpstr>
      <vt:lpstr>7. SP PY9</vt:lpstr>
      <vt:lpstr>8. ECSS</vt:lpstr>
      <vt:lpstr>9. Training</vt:lpstr>
      <vt:lpstr>10. Helpdesk</vt:lpstr>
      <vt:lpstr>11. CRI</vt:lpstr>
      <vt:lpstr>12. Expenses</vt:lpstr>
      <vt:lpstr>13. Costs</vt:lpstr>
      <vt:lpstr>14. Cost Details</vt:lpstr>
      <vt:lpstr>15. Response 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Costa, Claudia</dc:creator>
  <cp:lastModifiedBy>Costa, Claudia</cp:lastModifiedBy>
  <cp:lastPrinted>2022-06-13T18:09:41Z</cp:lastPrinted>
  <dcterms:created xsi:type="dcterms:W3CDTF">2020-04-20T00:52:05Z</dcterms:created>
  <dcterms:modified xsi:type="dcterms:W3CDTF">2022-06-13T18:13:59Z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662d3b4f-cba3-48d4-99e7-e402da93944e</vt:lpwstr>
  </property>
  <property fmtid="{D5CDD505-2E9C-101B-9397-08002B2CF9AE}" pid="3" name="_MarkAsFinal">
    <vt:bool>true</vt:bool>
  </property>
</Properties>
</file>